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40" documentId="8_{009F352E-3785-403E-BEDE-7CACB8DB4216}" xr6:coauthVersionLast="47" xr6:coauthVersionMax="47" xr10:uidLastSave="{9CB84ED4-BD34-4D9B-A2DB-C69A50BCA615}"/>
  <bookViews>
    <workbookView xWindow="-98" yWindow="-98" windowWidth="21795" windowHeight="13996" tabRatio="918" firstSheet="7" activeTab="7"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Khan S" sheetId="279" r:id="rId8"/>
    <sheet name="Bowes N" sheetId="256" state="hidden" r:id="rId9"/>
    <sheet name="Hennessy P" sheetId="257" state="hidden" r:id="rId10"/>
    <sheet name="Kreitzman L" sheetId="255" state="hidden" r:id="rId11"/>
    <sheet name="Murray J" sheetId="261" state="hidden" r:id="rId12"/>
    <sheet name="Shawcross V" sheetId="262" state="hidden"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8">'Bowes N'!$A$52:$K$65</definedName>
    <definedName name="_xlnm.Print_Area" localSheetId="9">'Hennessy P'!$A$31:$K$44</definedName>
    <definedName name="_xlnm.Print_Area" localSheetId="7">'Khan S'!$A$141:$L$162</definedName>
    <definedName name="_xlnm.Print_Area" localSheetId="10">'Kreitzman L'!$A$54:$K$72</definedName>
    <definedName name="_xlnm.Print_Area" localSheetId="24">'Linden S'!$A$1:$K$7</definedName>
    <definedName name="_xlnm.Print_Area" localSheetId="11">'Murray J'!$A$41:$K$54</definedName>
    <definedName name="_xlnm.Print_Area" localSheetId="18">'Ryder M (has left the GLA)'!$A$1:$K$34</definedName>
    <definedName name="_xlnm.Print_Area" localSheetId="12">'Shawcross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3" i="279" l="1"/>
  <c r="H154" i="279"/>
  <c r="J12" i="308" l="1"/>
  <c r="J9" i="308"/>
  <c r="K18" i="308"/>
  <c r="K17" i="308"/>
  <c r="K11" i="308"/>
  <c r="K8" i="308"/>
  <c r="K6" i="308"/>
  <c r="J4" i="308"/>
  <c r="J15" i="308"/>
  <c r="J14" i="308"/>
  <c r="J10" i="308"/>
  <c r="E138" i="279"/>
  <c r="J3" i="308" s="1"/>
  <c r="E161" i="279"/>
  <c r="J7" i="308"/>
  <c r="Q165" i="279" l="1"/>
  <c r="Q166" i="279" l="1"/>
  <c r="F166" i="279" s="1"/>
  <c r="D149" i="279" l="1"/>
  <c r="F161" i="279"/>
  <c r="D161" i="279"/>
  <c r="B161" i="279"/>
  <c r="A161" i="279"/>
  <c r="H160" i="279"/>
  <c r="H159" i="279"/>
  <c r="H158" i="279"/>
  <c r="H157" i="279"/>
  <c r="H156" i="279"/>
  <c r="H155" i="279"/>
  <c r="H166" i="279"/>
  <c r="H165" i="279"/>
  <c r="H152" i="279"/>
  <c r="C161" i="279"/>
  <c r="H150" i="279"/>
  <c r="H149" i="279"/>
  <c r="H151" i="279" l="1"/>
  <c r="H161" i="279" s="1"/>
  <c r="R20" i="308" l="1"/>
  <c r="S19" i="308"/>
  <c r="O129" i="279" l="1"/>
  <c r="O132" i="279" l="1"/>
  <c r="O131" i="279"/>
  <c r="O130" i="279"/>
  <c r="H130" i="279"/>
  <c r="H131" i="279"/>
  <c r="H132" i="279"/>
  <c r="H133" i="279"/>
  <c r="H134" i="279"/>
  <c r="H135" i="279"/>
  <c r="H136" i="279"/>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H129" i="279"/>
  <c r="C127" i="279" l="1"/>
  <c r="C125" i="279" l="1"/>
  <c r="C126" i="279" l="1"/>
  <c r="J18" i="308" l="1"/>
  <c r="I18" i="308"/>
  <c r="H18" i="308"/>
  <c r="G18" i="308"/>
  <c r="F18" i="308"/>
  <c r="I16" i="308"/>
  <c r="H16" i="308"/>
  <c r="G16" i="308"/>
  <c r="F16" i="308"/>
  <c r="K15" i="308"/>
  <c r="I15" i="308"/>
  <c r="H15" i="308"/>
  <c r="G15" i="308"/>
  <c r="F15" i="308"/>
  <c r="K14" i="308"/>
  <c r="I14" i="308"/>
  <c r="H14" i="308"/>
  <c r="G14" i="308"/>
  <c r="F14" i="308"/>
  <c r="I13" i="308"/>
  <c r="H13" i="308"/>
  <c r="G13" i="308"/>
  <c r="F13" i="308"/>
  <c r="J11" i="308"/>
  <c r="I11" i="308"/>
  <c r="H11" i="308"/>
  <c r="G11" i="308"/>
  <c r="F11" i="308"/>
  <c r="K10" i="308"/>
  <c r="I10" i="308"/>
  <c r="H10" i="308"/>
  <c r="G10" i="308"/>
  <c r="F10" i="308"/>
  <c r="J8" i="308"/>
  <c r="I8" i="308"/>
  <c r="H8" i="308"/>
  <c r="G8" i="308"/>
  <c r="F8" i="308"/>
  <c r="J6" i="308"/>
  <c r="I6" i="308"/>
  <c r="H6" i="308"/>
  <c r="G6" i="308"/>
  <c r="F6" i="308"/>
  <c r="L6" i="308" s="1"/>
  <c r="S6" i="308" s="1"/>
  <c r="K4" i="308"/>
  <c r="I4" i="308"/>
  <c r="H4" i="308"/>
  <c r="G4" i="308"/>
  <c r="F4" i="308"/>
  <c r="J17" i="308"/>
  <c r="I17" i="308"/>
  <c r="H17" i="308"/>
  <c r="G17" i="308"/>
  <c r="F17" i="308"/>
  <c r="L17" i="308" s="1"/>
  <c r="S17" i="308" s="1"/>
  <c r="K12" i="308"/>
  <c r="I12" i="308"/>
  <c r="H12" i="308"/>
  <c r="G12" i="308"/>
  <c r="F12" i="308"/>
  <c r="K9" i="308"/>
  <c r="I9" i="308"/>
  <c r="H9" i="308"/>
  <c r="G9" i="308"/>
  <c r="F9" i="308"/>
  <c r="K7" i="308"/>
  <c r="I7" i="308"/>
  <c r="H7" i="308"/>
  <c r="G7" i="308"/>
  <c r="F7" i="308"/>
  <c r="F138" i="279"/>
  <c r="K3" i="308" s="1"/>
  <c r="D138" i="279"/>
  <c r="I3" i="308" s="1"/>
  <c r="C138" i="279"/>
  <c r="H3" i="308" s="1"/>
  <c r="B138" i="279"/>
  <c r="G3" i="308" s="1"/>
  <c r="A138" i="279"/>
  <c r="F3" i="308" s="1"/>
  <c r="H137" i="279"/>
  <c r="H128" i="279"/>
  <c r="H127" i="279"/>
  <c r="H126" i="279"/>
  <c r="H125" i="279"/>
  <c r="C121" i="279"/>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H138" i="279"/>
  <c r="G20" i="308"/>
  <c r="F20" i="308"/>
  <c r="L3" i="308"/>
  <c r="S3" i="308" s="1"/>
  <c r="H20" i="308"/>
  <c r="L13" i="308" l="1"/>
  <c r="S13" i="308" s="1"/>
  <c r="N20" i="308"/>
  <c r="L20" i="308" l="1"/>
  <c r="L22" i="308" s="1"/>
  <c r="W22" i="313"/>
  <c r="X15" i="313"/>
  <c r="X16" i="313"/>
  <c r="X21" i="313"/>
  <c r="S20" i="308" l="1"/>
  <c r="H94" i="279" l="1"/>
  <c r="N94" i="279" s="1"/>
  <c r="D89" i="279"/>
  <c r="G76" i="255"/>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I14" i="313" l="1"/>
  <c r="X14" i="313" s="1"/>
  <c r="R76" i="255"/>
  <c r="I17" i="313"/>
  <c r="X17" i="313" s="1"/>
  <c r="I13" i="313"/>
  <c r="X13" i="313" s="1"/>
  <c r="I20" i="313"/>
  <c r="X20" i="313" s="1"/>
  <c r="D78" i="255"/>
  <c r="G10" i="313" s="1"/>
  <c r="E78" i="255"/>
  <c r="H10" i="313" s="1"/>
  <c r="I10" i="313" s="1"/>
  <c r="X10" i="313" s="1"/>
  <c r="G78" i="255"/>
  <c r="G63" i="258" l="1"/>
  <c r="G64" i="258"/>
  <c r="C52" i="257" l="1"/>
  <c r="C42" i="258" l="1"/>
  <c r="C45" i="261"/>
  <c r="C35" i="257"/>
  <c r="C85" i="279"/>
  <c r="D48" i="256"/>
  <c r="G7" i="313" s="1"/>
  <c r="C48" i="256"/>
  <c r="F7" i="313" s="1"/>
  <c r="B48" i="256"/>
  <c r="E7" i="313" s="1"/>
  <c r="A48" i="256"/>
  <c r="D7" i="313" s="1"/>
  <c r="G47" i="256"/>
  <c r="G46" i="256"/>
  <c r="G45" i="256"/>
  <c r="G44" i="256"/>
  <c r="C39" i="256"/>
  <c r="D69" i="258"/>
  <c r="B69" i="258"/>
  <c r="A69" i="258"/>
  <c r="G68" i="258"/>
  <c r="G67" i="258"/>
  <c r="G66" i="258"/>
  <c r="E69" i="258"/>
  <c r="C58" i="258"/>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C104" i="279"/>
  <c r="D114" i="279"/>
  <c r="H108" i="279"/>
  <c r="H109" i="279"/>
  <c r="H110" i="279"/>
  <c r="H111" i="279"/>
  <c r="H112" i="279"/>
  <c r="H113" i="279"/>
  <c r="A114" i="279"/>
  <c r="B114" i="279"/>
  <c r="C114" i="279"/>
  <c r="F114" i="279"/>
  <c r="H6" i="313" l="1"/>
  <c r="I6" i="313" s="1"/>
  <c r="X6" i="313" s="1"/>
  <c r="G62" i="258"/>
  <c r="C69" i="258"/>
  <c r="G65" i="258"/>
  <c r="G97" i="255"/>
  <c r="G56" i="257"/>
  <c r="G61" i="257" s="1"/>
  <c r="H114" i="279"/>
  <c r="G69" i="258" l="1"/>
  <c r="C5" i="312"/>
  <c r="E10" i="312"/>
  <c r="G10" i="312" s="1"/>
  <c r="E9" i="312"/>
  <c r="G9" i="312" s="1"/>
  <c r="E52" i="261" l="1"/>
  <c r="G8" i="313" l="1"/>
  <c r="F8" i="313"/>
  <c r="E8" i="313"/>
  <c r="D8" i="313"/>
  <c r="H8" i="313" l="1"/>
  <c r="I8" i="313" s="1"/>
  <c r="X8" i="313" s="1"/>
  <c r="H93" i="279" l="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D91" i="279" l="1"/>
  <c r="H91" i="279" s="1"/>
  <c r="D92" i="279" l="1"/>
  <c r="H92" i="279" s="1"/>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H4" i="313"/>
  <c r="G4" i="313"/>
  <c r="F4" i="313"/>
  <c r="E4" i="313"/>
  <c r="D4" i="313"/>
  <c r="C96" i="279"/>
  <c r="F3" i="313" s="1"/>
  <c r="D96" i="279"/>
  <c r="G3" i="313" s="1"/>
  <c r="F96" i="279"/>
  <c r="H3" i="313" s="1"/>
  <c r="A96" i="279"/>
  <c r="D3" i="313" s="1"/>
  <c r="B96" i="279"/>
  <c r="E3" i="313" s="1"/>
  <c r="H95" i="279"/>
  <c r="H89" i="279"/>
  <c r="H90" i="279"/>
  <c r="I4" i="313" l="1"/>
  <c r="X4" i="313" s="1"/>
  <c r="I11" i="313"/>
  <c r="X11" i="313" s="1"/>
  <c r="I5" i="313"/>
  <c r="X5" i="313" s="1"/>
  <c r="I18" i="313"/>
  <c r="X18" i="313" s="1"/>
  <c r="I9" i="313"/>
  <c r="X9" i="313" s="1"/>
  <c r="I3" i="313"/>
  <c r="X3" i="313" s="1"/>
  <c r="H96" i="279"/>
  <c r="G65" i="256"/>
  <c r="G51" i="258"/>
  <c r="G44" i="257"/>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H74" i="279"/>
  <c r="G50" i="255"/>
  <c r="B52" i="255"/>
  <c r="A52" i="255"/>
  <c r="D47" i="255" l="1"/>
  <c r="D72" i="279"/>
  <c r="D75" i="279" l="1"/>
  <c r="H75" i="279" s="1"/>
  <c r="D76" i="279"/>
  <c r="H76" i="279" s="1"/>
  <c r="E48" i="255" l="1"/>
  <c r="G48" i="255" s="1"/>
  <c r="H73" i="279"/>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H70" i="279"/>
  <c r="D69" i="279"/>
  <c r="G44" i="255"/>
  <c r="H71" i="279"/>
  <c r="H72" i="279"/>
  <c r="G35" i="261" l="1"/>
  <c r="H19" i="297" l="1"/>
  <c r="G19" i="297"/>
  <c r="F19" i="297"/>
  <c r="E19" i="297"/>
  <c r="D19" i="297"/>
  <c r="I19" i="297" l="1"/>
  <c r="G32" i="275" l="1"/>
  <c r="AO6" i="303" l="1"/>
  <c r="D31" i="279" l="1"/>
  <c r="C31" i="279"/>
  <c r="B31" i="279"/>
  <c r="A31" i="279"/>
  <c r="H29" i="279"/>
  <c r="H28" i="279"/>
  <c r="H27" i="279"/>
  <c r="H26" i="279"/>
  <c r="H25" i="279"/>
  <c r="H24" i="279"/>
  <c r="H23" i="279"/>
  <c r="H22" i="279"/>
  <c r="H21" i="279"/>
  <c r="H19" i="279"/>
  <c r="H18" i="279"/>
  <c r="H17" i="279"/>
  <c r="H16" i="279"/>
  <c r="F15" i="279"/>
  <c r="H15" i="279" s="1"/>
  <c r="H13" i="279"/>
  <c r="F12" i="279"/>
  <c r="H11" i="279"/>
  <c r="H10" i="279"/>
  <c r="H9" i="279"/>
  <c r="G31" i="279"/>
  <c r="F31" i="279" l="1"/>
  <c r="H12" i="279"/>
  <c r="O12" i="279" s="1"/>
  <c r="N14" i="279" s="1"/>
  <c r="G10" i="305"/>
  <c r="AQ23" i="305"/>
  <c r="H31" i="279" l="1"/>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C64" i="279"/>
  <c r="F78" i="279"/>
  <c r="H3" i="297" s="1"/>
  <c r="D78" i="279"/>
  <c r="G3" i="297" s="1"/>
  <c r="C78" i="279"/>
  <c r="F3" i="297" s="1"/>
  <c r="B78" i="279"/>
  <c r="E3" i="297" s="1"/>
  <c r="A78" i="279"/>
  <c r="D3" i="297" s="1"/>
  <c r="H77" i="279"/>
  <c r="H69" i="279"/>
  <c r="H68" i="279"/>
  <c r="G29" i="257" l="1"/>
  <c r="H78" i="279"/>
  <c r="G36" i="258"/>
  <c r="E29" i="257"/>
  <c r="H8" i="297" s="1"/>
  <c r="G33" i="256"/>
  <c r="AO16" i="302" l="1"/>
  <c r="D9" i="302" s="1"/>
  <c r="G9" i="302" s="1"/>
  <c r="F16" i="297"/>
  <c r="E16" i="297"/>
  <c r="G16" i="297"/>
  <c r="H16" i="297"/>
  <c r="D16" i="297"/>
  <c r="G26" i="255" l="1"/>
  <c r="H56" i="279"/>
  <c r="I21" i="139" l="1"/>
  <c r="I6" i="139"/>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F55" i="279"/>
  <c r="H55" i="279" s="1"/>
  <c r="E22" i="255"/>
  <c r="G22" i="255" s="1"/>
  <c r="F54" i="279"/>
  <c r="H54" i="279" s="1"/>
  <c r="E21" i="255"/>
  <c r="G21" i="255" s="1"/>
  <c r="F53" i="279"/>
  <c r="H53" i="279" s="1"/>
  <c r="P16" i="297" l="1"/>
  <c r="O13" i="297" l="1"/>
  <c r="O21" i="297" l="1"/>
  <c r="Q13" i="297"/>
  <c r="R13" i="297" l="1"/>
  <c r="E11" i="292"/>
  <c r="G11" i="292" s="1"/>
  <c r="G8" i="292"/>
  <c r="O7" i="292"/>
  <c r="Q7" i="292" s="1"/>
  <c r="G7" i="292"/>
  <c r="G6" i="292"/>
  <c r="E2" i="292"/>
  <c r="T13" i="297" l="1"/>
  <c r="G9" i="292"/>
  <c r="F52" i="279" l="1"/>
  <c r="G13" i="275" l="1"/>
  <c r="G14" i="275"/>
  <c r="G15" i="275"/>
  <c r="E16" i="275"/>
  <c r="G16" i="275" l="1"/>
  <c r="P14" i="297"/>
  <c r="G12" i="256"/>
  <c r="Q14" i="297" l="1"/>
  <c r="P21" i="297"/>
  <c r="A20" i="275"/>
  <c r="B20" i="275"/>
  <c r="C20" i="275"/>
  <c r="D20" i="275"/>
  <c r="E20" i="275"/>
  <c r="F20" i="275"/>
  <c r="G9" i="275"/>
  <c r="G11" i="275"/>
  <c r="R14" i="297" l="1"/>
  <c r="F49" i="279"/>
  <c r="S48" i="279"/>
  <c r="W47" i="279"/>
  <c r="V47" i="279"/>
  <c r="R47" i="279"/>
  <c r="S47" i="279" s="1"/>
  <c r="R48" i="279"/>
  <c r="R46" i="279"/>
  <c r="T48" i="279" l="1"/>
  <c r="N16" i="297"/>
  <c r="Q16" i="297" s="1"/>
  <c r="T14" i="297"/>
  <c r="F51" i="279"/>
  <c r="H51" i="279" s="1"/>
  <c r="G20" i="255"/>
  <c r="E18" i="255"/>
  <c r="G18" i="255" s="1"/>
  <c r="F47" i="279"/>
  <c r="E19" i="255"/>
  <c r="G19" i="255" s="1"/>
  <c r="F48" i="279"/>
  <c r="H48" i="279" s="1"/>
  <c r="H49" i="279"/>
  <c r="H50" i="279"/>
  <c r="H52" i="279"/>
  <c r="R16" i="297" l="1"/>
  <c r="D17" i="255"/>
  <c r="G17" i="255" s="1"/>
  <c r="D46" i="279"/>
  <c r="T16" i="297" l="1"/>
  <c r="G16" i="255"/>
  <c r="H45" i="279"/>
  <c r="H46" i="279"/>
  <c r="H47" i="279"/>
  <c r="G15" i="255" l="1"/>
  <c r="H43" i="279"/>
  <c r="F42" i="279"/>
  <c r="G14" i="255"/>
  <c r="G13" i="255"/>
  <c r="D12" i="255"/>
  <c r="G12" i="255" s="1"/>
  <c r="D41" i="279"/>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H42" i="279" l="1"/>
  <c r="H44" i="279"/>
  <c r="B58" i="279" l="1"/>
  <c r="E3" i="139" s="1"/>
  <c r="E4" i="139" s="1"/>
  <c r="C58" i="279"/>
  <c r="F3" i="139" s="1"/>
  <c r="F4" i="139" s="1"/>
  <c r="D58" i="279"/>
  <c r="G3" i="139" s="1"/>
  <c r="G4" i="139" s="1"/>
  <c r="A58" i="279"/>
  <c r="D3" i="139" s="1"/>
  <c r="D4" i="139" s="1"/>
  <c r="H41" i="279"/>
  <c r="F58" i="279" l="1"/>
  <c r="H3" i="139" s="1"/>
  <c r="H4" i="139" s="1"/>
  <c r="I12" i="139" l="1"/>
  <c r="I3" i="139" l="1"/>
  <c r="I4" i="139" s="1"/>
  <c r="H57" i="279" l="1"/>
  <c r="H58" i="27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Q47" authorId="0" shapeId="0" xr:uid="{00000000-0006-0000-0500-000001000000}">
      <text>
        <r>
          <rPr>
            <b/>
            <sz val="9"/>
            <color indexed="81"/>
            <rFont val="Tahoma"/>
            <family val="2"/>
          </rPr>
          <t>Frances Nguene:</t>
        </r>
        <r>
          <rPr>
            <sz val="9"/>
            <color indexed="81"/>
            <rFont val="Tahoma"/>
            <family val="2"/>
          </rPr>
          <t xml:space="preserve">
no of nights</t>
        </r>
      </text>
    </comment>
  </commentList>
</comments>
</file>

<file path=xl/sharedStrings.xml><?xml version="1.0" encoding="utf-8"?>
<sst xmlns="http://schemas.openxmlformats.org/spreadsheetml/2006/main" count="2493" uniqueCount="753">
  <si>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</si>
  <si>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</si>
  <si>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</si>
  <si>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</si>
  <si>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</si>
  <si>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</si>
  <si>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</si>
  <si>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</si>
  <si>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</si>
  <si>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</si>
  <si>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</si>
  <si>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</si>
  <si>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</si>
  <si>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</si>
  <si>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</si>
  <si>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</si>
  <si>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</si>
  <si>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</si>
  <si>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</si>
  <si>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</si>
  <si>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</si>
  <si>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</si>
  <si>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</si>
  <si>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</si>
  <si>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</si>
  <si>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</si>
  <si>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</si>
  <si>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</si>
  <si>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</si>
  <si>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</si>
  <si>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</si>
  <si>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</si>
  <si>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</si>
  <si>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</si>
  <si>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</si>
  <si>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</si>
  <si>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</si>
  <si>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</si>
  <si>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</si>
  <si>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</si>
  <si>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</si>
  <si>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</si>
  <si>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</si>
  <si>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</si>
  <si>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</si>
  <si>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</si>
  <si>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</si>
  <si>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</si>
  <si>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</si>
  <si>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</si>
  <si>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</si>
  <si>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</si>
  <si>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</si>
  <si>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</si>
  <si>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</si>
  <si>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</si>
  <si>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</si>
  <si>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</si>
  <si>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</si>
  <si>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</si>
  <si>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</si>
  <si>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</si>
  <si>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</si>
  <si>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</si>
  <si>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</si>
  <si>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</si>
  <si>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</si>
  <si>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</si>
  <si>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</si>
  <si>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</si>
  <si>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</si>
  <si>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</si>
  <si>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</si>
  <si>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</si>
  <si>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</si>
  <si>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</si>
  <si>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</si>
  <si>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</si>
  <si>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</si>
  <si>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</si>
  <si>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</si>
  <si>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</si>
  <si>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</si>
  <si>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</si>
  <si>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</si>
  <si>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</si>
  <si>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</si>
  <si>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</si>
  <si>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</si>
  <si>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</si>
  <si>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</si>
  <si>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</si>
  <si>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</si>
  <si>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</si>
  <si>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</si>
  <si>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</si>
  <si>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</si>
  <si>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</si>
  <si>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</si>
  <si>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</si>
  <si>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</si>
  <si>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</si>
  <si>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</si>
  <si>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</si>
  <si>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</si>
  <si>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</si>
  <si>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</si>
  <si>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</si>
  <si>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</si>
  <si>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</si>
  <si>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</si>
  <si>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</si>
  <si>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</si>
  <si>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</si>
  <si>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</si>
  <si>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</si>
  <si>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</si>
  <si>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</si>
  <si>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</si>
  <si>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</si>
  <si>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</si>
  <si>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</si>
  <si>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</si>
  <si>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</si>
  <si>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</si>
  <si>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</si>
  <si>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</si>
  <si>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</si>
  <si>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</si>
  <si>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</si>
  <si>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</si>
  <si>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</si>
  <si>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</si>
  <si>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</si>
  <si>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</si>
  <si>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</si>
  <si>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</si>
  <si>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</si>
  <si>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</si>
  <si>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</si>
  <si>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</si>
  <si>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</si>
  <si>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</si>
  <si>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</si>
  <si>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</si>
  <si>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</si>
  <si>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</si>
  <si>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</si>
  <si>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</si>
  <si>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</si>
  <si>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</si>
  <si>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</si>
  <si>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</si>
  <si>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</si>
  <si>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</si>
  <si>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</si>
  <si>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</si>
  <si>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</si>
  <si>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</si>
  <si>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</si>
  <si>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</si>
  <si>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</si>
  <si>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</si>
  <si>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</si>
  <si>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</si>
  <si>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</si>
  <si>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</si>
  <si>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</si>
  <si>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</si>
  <si>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</si>
  <si>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</si>
  <si>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</si>
  <si>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</si>
  <si>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</si>
  <si>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</si>
  <si>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</si>
  <si>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</si>
  <si>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</si>
  <si>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</si>
  <si>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</si>
  <si>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</si>
  <si>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</si>
  <si>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</si>
  <si>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</si>
  <si>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</si>
  <si>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</si>
  <si>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</si>
  <si>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</si>
  <si>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</si>
  <si>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</si>
  <si>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</si>
  <si>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</si>
  <si>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</si>
  <si>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</si>
  <si>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</si>
  <si>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</si>
  <si>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</si>
  <si>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</si>
  <si>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</si>
  <si>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</si>
  <si>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</si>
  <si>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</si>
  <si>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</si>
  <si>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</si>
  <si>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</si>
  <si>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</si>
  <si>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</si>
  <si>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</si>
  <si>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</si>
  <si>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</si>
  <si>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</si>
  <si>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</si>
  <si>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</si>
  <si>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</si>
  <si>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</si>
  <si>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</si>
  <si>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</si>
  <si>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</si>
  <si>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</si>
  <si>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</si>
  <si>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</si>
  <si>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</si>
  <si>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</si>
  <si>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</si>
  <si>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</si>
  <si>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</si>
  <si>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</si>
  <si>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</si>
  <si>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</si>
  <si>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</si>
  <si>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</si>
  <si>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</si>
  <si>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</si>
  <si>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</si>
  <si>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</si>
  <si>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</si>
  <si>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</si>
  <si>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</si>
  <si>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</si>
  <si>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</si>
  <si>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</si>
  <si>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</si>
  <si>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</si>
  <si>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</si>
  <si>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</si>
  <si>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</si>
  <si>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</si>
  <si>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</si>
  <si>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</si>
  <si>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</si>
  <si>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</si>
  <si>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</si>
  <si>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</si>
  <si>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</si>
  <si>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</si>
  <si>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</si>
  <si>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</si>
  <si>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</si>
  <si>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</si>
  <si>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</si>
  <si>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</si>
  <si>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</si>
  <si>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</si>
  <si>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</si>
  <si>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</si>
  <si>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</si>
  <si>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</si>
  <si>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</si>
  <si>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</si>
  <si>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</si>
  <si>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</si>
  <si>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</si>
  <si>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</si>
  <si>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</si>
  <si>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</si>
  <si>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</si>
  <si>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</si>
  <si>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</si>
  <si>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</si>
  <si>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</si>
  <si>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</si>
  <si>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</si>
  <si>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</si>
  <si>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</si>
  <si>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</si>
  <si>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</si>
  <si>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</si>
  <si>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</si>
  <si>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</si>
  <si>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</si>
  <si>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</si>
  <si>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</si>
  <si>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</si>
  <si>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</si>
  <si>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</si>
  <si>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</si>
  <si>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</si>
  <si>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</si>
  <si>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</si>
  <si>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Sadiq Khan</t>
  </si>
  <si>
    <t>Previously</t>
  </si>
  <si>
    <t>Mayor of London</t>
  </si>
  <si>
    <t>reported</t>
  </si>
  <si>
    <t>Adj next</t>
  </si>
  <si>
    <t>Expenses for the financial year  2016-17</t>
  </si>
  <si>
    <t>to Audit Panel</t>
  </si>
  <si>
    <t>Audit Panel</t>
  </si>
  <si>
    <t xml:space="preserve">Last review date: </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</si>
  <si>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</si>
  <si>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</si>
  <si>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</si>
  <si>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</si>
  <si>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EXP0000052</t>
  </si>
  <si>
    <t>Flight from Malta - London / London - Malta Urgent Mayoral business</t>
  </si>
  <si>
    <t>Eurostar to Paris travel</t>
  </si>
  <si>
    <t>Mayor's Office visit to Canada &amp; USA - Chicago &amp; New York (International Flight Cost)</t>
  </si>
  <si>
    <t>CC DH SEP/OCT 2016</t>
  </si>
  <si>
    <t xml:space="preserve"> New York &amp; Chicago (Hotel charges - USA)</t>
  </si>
  <si>
    <t>CC DH AUG 2016</t>
  </si>
  <si>
    <t xml:space="preserve"> New York (Internal flights)</t>
  </si>
  <si>
    <t>CC SR Oct 2016</t>
  </si>
  <si>
    <t>Train - Heathrow to Paddington - end of Mayor's visit to Canada &amp; USA</t>
  </si>
  <si>
    <t>3100867196 / 926475</t>
  </si>
  <si>
    <t>Travel costs</t>
  </si>
  <si>
    <t>3100867196 / 925966</t>
  </si>
  <si>
    <t>Flight - Zurich to London - World Economic Forum</t>
  </si>
  <si>
    <t>Flight - London City to Zurich</t>
  </si>
  <si>
    <t>CC DH Jan 17</t>
  </si>
  <si>
    <t>Hotel - Davos-Switzerland 1 night - World Economic Forum Annual Meeting 2017</t>
  </si>
  <si>
    <t>CC DH Apr 17</t>
  </si>
  <si>
    <t>Eurostar -London to Brussels - EU Capital cities</t>
  </si>
  <si>
    <t>Hotel - Brussels - EU Capital cities</t>
  </si>
  <si>
    <t>CC DH Mar 17</t>
  </si>
  <si>
    <t>Train - Brussels to Paris - EU Capital cities</t>
  </si>
  <si>
    <t>Hotel - Paris - EU Capital cities</t>
  </si>
  <si>
    <t>Eurostar - Paris to London - EU Capital cities</t>
  </si>
  <si>
    <t>Pro rated share of total bill paid by one attendee on behalf of the Authority-Dinner in Brussels- EU Capital cities</t>
  </si>
  <si>
    <t>Pro rated share of total bill paid by one attendee on behalf of the Authority-Dinner in Paris - EU Capital cities</t>
  </si>
  <si>
    <t>Pro rated share of total bill paid by one attendee on behalf of the Authority-Lunch in Paris - EU Capital cities</t>
  </si>
  <si>
    <t>Expenses for the financial year 2017-18</t>
  </si>
  <si>
    <t>CC amount £</t>
  </si>
  <si>
    <t># of people</t>
  </si>
  <si>
    <t>Pro rata amount</t>
  </si>
  <si>
    <t>CC SR NOV 2017</t>
  </si>
  <si>
    <t>Eurostar - London-Paris - C40 steering committee (23/10/17)</t>
  </si>
  <si>
    <t>Nov 2017</t>
  </si>
  <si>
    <t>Photos - India and Pakistan visa applications - Mayor's visit to India and Pakistan December 2017</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</si>
  <si>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</si>
  <si>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</si>
  <si>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</si>
  <si>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</si>
  <si>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</si>
  <si>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</si>
  <si>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 Mayor's visit to India and Pakistan December 2017</t>
  </si>
  <si>
    <t>Jet Airways</t>
  </si>
  <si>
    <t>Hotel-Mumbai (2-4/12/17)- Mayor's visit to India and Pakistan December 2017</t>
  </si>
  <si>
    <t>Taj Majal Palace, Mumbai</t>
  </si>
  <si>
    <t>Hotel -Armistar (5/12/17)- Mayor's visit to India and Pakistan December 2017</t>
  </si>
  <si>
    <t>Hyatt, Armistar</t>
  </si>
  <si>
    <t>Meals -Mumbai (2-3/12/17)- Mayor's visit to India and Pakistan December 2017</t>
  </si>
  <si>
    <t>CC SR DEC 2017</t>
  </si>
  <si>
    <t>Refund of Indian visa</t>
  </si>
  <si>
    <t>Hotel-Delhi (4/12/17)- Mayor's visit to India and Pakistan December 2017</t>
  </si>
  <si>
    <t>The Lalit New Delhi</t>
  </si>
  <si>
    <t>CC SR JAN 2018</t>
  </si>
  <si>
    <t>Meal - Pro rated share of total bill - New Delhi (4/12/17)- Mayor's visit to India and Pakistan December 2017</t>
  </si>
  <si>
    <t>Jan 2018</t>
  </si>
  <si>
    <t>CC SR APR 2018</t>
  </si>
  <si>
    <t>Meal - Austin, Texas, USA - SXSW Conference (pro rated share)</t>
  </si>
  <si>
    <t>Mar 2018</t>
  </si>
  <si>
    <t>Flight-Karachi-Dubai-London-Mayor's visit to India and Pakistan December 2017</t>
  </si>
  <si>
    <t>Expenses for the financial year 2018-19</t>
  </si>
  <si>
    <t>Last review date:</t>
  </si>
  <si>
    <t>Capita 8-14/6/18</t>
  </si>
  <si>
    <t>Train - Travel to Liverpool for Meeting of Metro Mayors and International Business Summit</t>
  </si>
  <si>
    <t>Capita 12-18/10/18 &amp; Capita 19-25/10/18</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</si>
  <si>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</si>
  <si>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</si>
  <si>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</si>
  <si>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</si>
  <si>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NOV 18 DH</t>
  </si>
  <si>
    <t>Flight-London to Berlin as part of the Mayor’s European cities visit (11/11/2018)</t>
  </si>
  <si>
    <t>Jan 2019</t>
  </si>
  <si>
    <t>CC NOV 2018 SR</t>
  </si>
  <si>
    <t>Hotel-Paris as part of the Mayor’s European cities visit</t>
  </si>
  <si>
    <t>Capita SAP doc 1900043877</t>
  </si>
  <si>
    <t>Hotel as part of the Mayor’s European cities visit</t>
  </si>
  <si>
    <t>CC Dec 2018 DH</t>
  </si>
  <si>
    <t>Flight-London to Dublin (6/12/2018)</t>
  </si>
  <si>
    <t>Flight-Dublin to London (6/12/2018)</t>
  </si>
  <si>
    <t>Expenses for the financial year 2019-20</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</si>
  <si>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</si>
  <si>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</si>
  <si>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</si>
  <si>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</si>
  <si>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</si>
  <si>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Flight - Warsaw to London - Mayor's offcial visit to Poland (31/8/2019 - 2/9/2019)</t>
  </si>
  <si>
    <t>Capita 6.12-12.2019</t>
  </si>
  <si>
    <t>Flight - London to Krakow - flight to Krakow for the 75th anniversary commemoration event marking the liberation of Auschwitz</t>
  </si>
  <si>
    <t>CC SR FEB 2020</t>
  </si>
  <si>
    <t>Eurostar - London to Brussels - Mayoral visit to Brussels</t>
  </si>
  <si>
    <t>Expenses for the financial year 2020-21</t>
  </si>
  <si>
    <t>Expenses for the financial year 2021-22</t>
  </si>
  <si>
    <t>CC SR JUN 2021</t>
  </si>
  <si>
    <t>Train-London to York-Mayoral Visit to York-19 May 2021</t>
  </si>
  <si>
    <t>Train-London to Liverpool-Mayoral Visit to Liverpool-26 May 2021</t>
  </si>
  <si>
    <t>CC SR AUG 2021</t>
  </si>
  <si>
    <t>Train-London to Bristol- Mayoral visit to Bristol - 13 August 2021</t>
  </si>
  <si>
    <t>Do not delete</t>
  </si>
  <si>
    <t>CC SR OCT 2021</t>
  </si>
  <si>
    <t>Train-London to Coventry-Visit to Launch London’s new EV strategy at the London Electric Vehicle Company Factory (Coventry)-15 October 2021</t>
  </si>
  <si>
    <t>Total Bill/# of people</t>
  </si>
  <si>
    <t>CC SR SEP 2021</t>
  </si>
  <si>
    <t>Train-London to Glasgow for COP26 - 1-3 November 2021</t>
  </si>
  <si>
    <t>CC SR NOV 2021</t>
  </si>
  <si>
    <t>Dinner-Glasgow-COP26 - 2 November 2021</t>
  </si>
  <si>
    <t>Train-London to Glasgow for COP26 - 10 November 2021</t>
  </si>
  <si>
    <t>Train-London to Glasgow for COP26 - 11 November 2021</t>
  </si>
  <si>
    <t>CapitaAirMarch</t>
  </si>
  <si>
    <t xml:space="preserve">Flight-London to Belfast-Visit to bus manufacturer - Ballymena </t>
  </si>
  <si>
    <t>CapitaRail March</t>
  </si>
  <si>
    <t xml:space="preserve">Train-London to Doncaster - 21/3/2022 - Visit to train manufacturer - Goole </t>
  </si>
  <si>
    <t>Expenses for the financial year 2022-23</t>
  </si>
  <si>
    <t>CC SR MAY 2022</t>
  </si>
  <si>
    <t>Flight - London to New York, Silicon Valley &amp; Los Angeles - Mayoral trade and investment mission to USA - 8/5/2022-12/5/2022</t>
  </si>
  <si>
    <t>Anita Chen</t>
  </si>
  <si>
    <t xml:space="preserve">Hotel - New York - Mayoral trade and investment mission to USA </t>
  </si>
  <si>
    <t>Hotel - San Francisco - Mayoral trade and investment mission to USA</t>
  </si>
  <si>
    <t>Hotel - Los Angeles - Mayoral trade and investment mission to USA</t>
  </si>
  <si>
    <t>Agiito Jan 2023</t>
  </si>
  <si>
    <t xml:space="preserve">Train - London to St Austell, Cornwall - Speaking engagement at the Anthropy conference  </t>
  </si>
  <si>
    <t>Repaid by The Mayor on 13/10/2022</t>
  </si>
  <si>
    <t>SR CC May 2022</t>
  </si>
  <si>
    <t>Lunch - San Francisco - Mayoral trip to USA</t>
  </si>
  <si>
    <t>Coupa Café Sandiwch lunch</t>
  </si>
  <si>
    <t>ADEYEMO J ADEYEMO J MOL EXPENSE REPAY FP 13/10/22</t>
  </si>
  <si>
    <t>2001</t>
  </si>
  <si>
    <t>180210</t>
  </si>
  <si>
    <t>G0603</t>
  </si>
  <si>
    <t xml:space="preserve"> MOL EXPENSE REPAY FP 13/10/22</t>
  </si>
  <si>
    <t xml:space="preserve">Dinner - Los Angeles - Mayoral trade and investment mission to USA </t>
  </si>
  <si>
    <t>Manuela restaurant</t>
  </si>
  <si>
    <t>Nick Bowes</t>
  </si>
  <si>
    <t>Mayoral Director, Policy</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</si>
  <si>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</si>
  <si>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</si>
  <si>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</si>
  <si>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</si>
  <si>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</si>
  <si>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</si>
  <si>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</si>
  <si>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</si>
  <si>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</si>
  <si>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</si>
  <si>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14/09/2018 - 20/09/2018</t>
  </si>
  <si>
    <t>Rail - London to Liverpool return- Labour party conference 2018</t>
  </si>
  <si>
    <t>Capita-Hotel-w/e 26/10/18</t>
  </si>
  <si>
    <t>Hotel - Liverpool - Labour Party Conference 2018 ( 23/9-24/9/2018)</t>
  </si>
  <si>
    <t>CC AUG 2018 SG</t>
  </si>
  <si>
    <t>Labour party conference pass</t>
  </si>
  <si>
    <t>CC SG SEP 2019</t>
  </si>
  <si>
    <t>Conference pass - Labour Party Conference 2019</t>
  </si>
  <si>
    <t>includes VAT</t>
  </si>
  <si>
    <t>Patrick Hennessy</t>
  </si>
  <si>
    <t>Mayoral Director, Communications</t>
  </si>
  <si>
    <t>EXP0002644 / Oct 17 Main</t>
  </si>
  <si>
    <t>Hotel-Brighton - Labour Party Conference 2017</t>
  </si>
  <si>
    <t>CC SR OCT 2017</t>
  </si>
  <si>
    <t>Capita Hotel Inv 12.10.18</t>
  </si>
  <si>
    <t>Hotel-Liverpool-Labour Party conference</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</si>
  <si>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</si>
  <si>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</si>
  <si>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</si>
  <si>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</si>
  <si>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</si>
  <si>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</si>
  <si>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</si>
  <si>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</si>
  <si>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</si>
  <si>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Eurostar - London-Paris - C40 steering committee (22 - 23/10/17) - (to be reimbursed)</t>
  </si>
  <si>
    <t>Photos - India and Pakistan visa applications</t>
  </si>
  <si>
    <t>Flights-London-Mumbai (2-3/12/17) / Mumbai-Delhi (4/12/17) / Delhi-Amritsar (5/12/17)</t>
  </si>
  <si>
    <t>Hotel deposit -Armistar (5/12/17)- Mayor's visit to India and Pakistan December 2017</t>
  </si>
  <si>
    <t>Meal - Austin, Texas, USA - SXSW Conference (pro-rated share)</t>
  </si>
  <si>
    <t>Flight- Austin, Texas - Mayoral trip to deliver a keynote speech to the SXSW Festival (10-12/3/18)</t>
  </si>
  <si>
    <t>Accommodation- Austin, Texas - Mayoral trip to deliver a keynote speech to the SXSW Festival (pro-rated share)</t>
  </si>
  <si>
    <t>21/9/2018-27/9/018</t>
  </si>
  <si>
    <t>Flight - London to Geneva - Meeting with UEFA for Euro 2020</t>
  </si>
  <si>
    <t xml:space="preserve">Capita 12-18/10/18 </t>
  </si>
  <si>
    <t>CC Oct 2018 DH</t>
  </si>
  <si>
    <t>Flight-Dublin to London - Mayor's visit (9/12/2018)</t>
  </si>
  <si>
    <t>Flight-London to Geneva-attend UEFA host city workshop (2/10-3/10/2018)</t>
  </si>
  <si>
    <t>Flight-London to Berlin-Mayor's offcial visit (11/11/2018)</t>
  </si>
  <si>
    <t>Capita SAP doc 1900043876</t>
  </si>
  <si>
    <t>Meal - Mayor's offcial visit to Poland  (pro rated share)</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</si>
  <si>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</si>
  <si>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</si>
  <si>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</si>
  <si>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</si>
  <si>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</si>
  <si>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</si>
  <si>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</si>
  <si>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</si>
  <si>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</si>
  <si>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</si>
  <si>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James Murray</t>
  </si>
  <si>
    <t>Deputy Mayor, Housing</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</si>
  <si>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</si>
  <si>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</si>
  <si>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</si>
  <si>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</si>
  <si>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</si>
  <si>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</si>
  <si>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</si>
  <si>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</si>
  <si>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</si>
  <si>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</si>
  <si>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</si>
  <si>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</si>
  <si>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</si>
  <si>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</si>
  <si>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</si>
  <si>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</si>
  <si>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</si>
  <si>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</si>
  <si>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</si>
  <si>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</si>
  <si>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</si>
  <si>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</si>
  <si>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</si>
  <si>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</si>
  <si>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</si>
  <si>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</si>
  <si>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</si>
  <si>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</si>
  <si>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</si>
  <si>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</si>
  <si>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</si>
  <si>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</si>
  <si>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</si>
  <si>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</si>
  <si>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</si>
  <si>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</si>
  <si>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</si>
  <si>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06/09/2018 - 13/09/2018</t>
  </si>
  <si>
    <t>Train - London to Manchester - TUC Conference</t>
  </si>
  <si>
    <t>Rail - London to Liverpool - Labour party conference 2018</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</si>
  <si>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</si>
  <si>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</si>
  <si>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</si>
  <si>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</si>
  <si>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</si>
  <si>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</si>
  <si>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</si>
  <si>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</si>
  <si>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</si>
  <si>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</si>
  <si>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</si>
  <si>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</si>
  <si>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</si>
  <si>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</si>
  <si>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</si>
  <si>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</si>
  <si>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</si>
  <si>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</si>
  <si>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</si>
  <si>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</si>
  <si>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</si>
  <si>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</si>
  <si>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</si>
  <si>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</si>
  <si>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</si>
  <si>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</si>
  <si>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</si>
  <si>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</si>
  <si>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</si>
  <si>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</si>
  <si>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</si>
  <si>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</si>
  <si>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</si>
  <si>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</si>
  <si>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</si>
  <si>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</si>
  <si>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</si>
  <si>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</si>
  <si>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</si>
  <si>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</si>
  <si>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</si>
  <si>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</si>
  <si>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</si>
  <si>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</si>
  <si>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</si>
  <si>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</si>
  <si>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</si>
  <si>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</si>
  <si>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</si>
  <si>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</si>
  <si>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</si>
  <si>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</si>
  <si>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</si>
  <si>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</si>
  <si>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</si>
  <si>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</si>
  <si>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</si>
  <si>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</si>
  <si>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</si>
  <si>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</si>
  <si>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</si>
  <si>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</si>
  <si>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</si>
  <si>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</si>
  <si>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</si>
  <si>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</si>
  <si>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</si>
  <si>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</si>
  <si>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</si>
  <si>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</si>
  <si>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</si>
  <si>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</si>
  <si>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</si>
  <si>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</si>
  <si>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</si>
  <si>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</si>
  <si>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</si>
  <si>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</si>
  <si>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</si>
  <si>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</si>
  <si>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</si>
  <si>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</si>
  <si>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</si>
  <si>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</si>
  <si>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</si>
  <si>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</si>
  <si>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</si>
  <si>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</si>
  <si>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</si>
  <si>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</si>
  <si>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</si>
  <si>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</si>
  <si>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</si>
  <si>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</si>
  <si>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</si>
  <si>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</si>
  <si>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</si>
  <si>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</si>
  <si>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</si>
  <si>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</si>
  <si>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</si>
  <si>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</si>
  <si>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</si>
  <si>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</si>
  <si>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</si>
  <si>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</si>
  <si>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</si>
  <si>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</si>
  <si>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</si>
  <si>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</si>
  <si>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</si>
  <si>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</si>
  <si>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</si>
  <si>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</si>
  <si>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</si>
  <si>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</si>
  <si>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</si>
  <si>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</si>
  <si>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</si>
  <si>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</si>
  <si>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</si>
  <si>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</si>
  <si>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</si>
  <si>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</si>
  <si>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</si>
  <si>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</si>
  <si>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</si>
  <si>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</si>
  <si>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</si>
  <si>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</si>
  <si>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</si>
  <si>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</si>
  <si>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</si>
  <si>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</si>
  <si>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</si>
  <si>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</si>
  <si>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</si>
  <si>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</si>
  <si>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</si>
  <si>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</si>
  <si>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</si>
  <si>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</si>
  <si>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</si>
  <si>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</si>
  <si>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</si>
  <si>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</si>
  <si>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</si>
  <si>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</si>
  <si>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</si>
  <si>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</si>
  <si>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</si>
  <si>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</si>
  <si>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</si>
  <si>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</si>
  <si>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</si>
  <si>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</si>
  <si>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</si>
  <si>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</si>
  <si>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</si>
  <si>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</si>
  <si>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</si>
  <si>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</si>
  <si>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</si>
  <si>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</si>
  <si>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</si>
  <si>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</si>
  <si>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</si>
  <si>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</si>
  <si>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</si>
  <si>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</si>
  <si>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</si>
  <si>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</si>
  <si>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</si>
  <si>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</si>
  <si>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</si>
  <si>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</si>
  <si>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</si>
  <si>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</si>
  <si>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</si>
  <si>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</si>
  <si>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</si>
  <si>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</si>
  <si>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</si>
  <si>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</si>
  <si>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</si>
  <si>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</si>
  <si>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</si>
  <si>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</si>
  <si>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</si>
  <si>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</si>
  <si>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</si>
  <si>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</si>
  <si>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</si>
  <si>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</si>
  <si>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</si>
  <si>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</si>
  <si>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</si>
  <si>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</si>
  <si>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</si>
  <si>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</si>
  <si>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CC DH Sept 2016</t>
  </si>
  <si>
    <t>Fee for Canadian electronic travel authorisation (eTA)</t>
  </si>
  <si>
    <t>CC DH Dec 2016</t>
  </si>
  <si>
    <t>Dinner for visiting Mayors after the Social Integration conference (pro-rata share of costs incurred)</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</si>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</sst>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
      <sz val="14"/>
      <color theme="1"/>
      <name val="Arial"/>
      <family val="2"/>
    </font>
    <font>
      <sz val="14"/>
      <color rgb="FF0070C0"/>
      <name val="Arial"/>
      <family val="2"/>
    </font>
    <font>
      <sz val="14"/>
      <name val="Century Gothic"/>
      <family val="2"/>
    </font>
  </fonts>
  <fills count="128">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theme="5" tint="0.39997558519241921"/>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6">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medium">
        <color indexed="64"/>
      </left>
      <right/>
      <top/>
      <bottom style="thin">
        <color theme="0" tint="-0.14996795556505021"/>
      </bottom>
      <diagonal/>
    </border>
    <border>
      <left/>
      <right/>
      <top/>
      <bottom style="thin">
        <color theme="0" tint="-0.14996795556505021"/>
      </bottom>
      <diagonal/>
    </border>
    <border>
      <left/>
      <right style="medium">
        <color indexed="64"/>
      </right>
      <top/>
      <bottom style="thin">
        <color theme="0" tint="-0.14996795556505021"/>
      </bottom>
      <diagonal/>
    </border>
  </borders>
  <cellStyleXfs count="2337">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1" borderId="6" applyNumberFormat="0" applyAlignment="0" applyProtection="0"/>
    <xf numFmtId="0" fontId="69" fillId="22" borderId="7" applyNumberFormat="0" applyAlignment="0" applyProtection="0"/>
    <xf numFmtId="0" fontId="70" fillId="22" borderId="6" applyNumberFormat="0" applyAlignment="0" applyProtection="0"/>
    <xf numFmtId="0" fontId="71" fillId="0" borderId="8" applyNumberFormat="0" applyFill="0" applyAlignment="0" applyProtection="0"/>
    <xf numFmtId="0" fontId="72" fillId="23"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76"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76"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76"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76"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76" fillId="45"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5" fillId="0" borderId="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76" fillId="28"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32"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6"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80" fillId="57" borderId="0" applyNumberFormat="0" applyBorder="0" applyAlignment="0" applyProtection="0"/>
    <xf numFmtId="0" fontId="76" fillId="4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4"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76" fillId="48"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63" borderId="0" applyNumberFormat="0" applyBorder="0" applyAlignment="0" applyProtection="0"/>
    <xf numFmtId="0" fontId="80" fillId="63" borderId="0" applyNumberFormat="0" applyBorder="0" applyAlignment="0" applyProtection="0"/>
    <xf numFmtId="0" fontId="80" fillId="63" borderId="0" applyNumberFormat="0" applyBorder="0" applyAlignment="0" applyProtection="0"/>
    <xf numFmtId="0" fontId="80" fillId="63" borderId="0" applyNumberFormat="0" applyBorder="0" applyAlignment="0" applyProtection="0"/>
    <xf numFmtId="0" fontId="80" fillId="63" borderId="0" applyNumberFormat="0" applyBorder="0" applyAlignment="0" applyProtection="0"/>
    <xf numFmtId="0" fontId="80" fillId="63"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5"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1" borderId="0" applyNumberFormat="0" applyBorder="0" applyAlignment="0" applyProtection="0"/>
    <xf numFmtId="0" fontId="80" fillId="71" borderId="0" applyNumberFormat="0" applyBorder="0" applyAlignment="0" applyProtection="0"/>
    <xf numFmtId="0" fontId="80" fillId="71" borderId="0" applyNumberFormat="0" applyBorder="0" applyAlignment="0" applyProtection="0"/>
    <xf numFmtId="0" fontId="80" fillId="71" borderId="0" applyNumberFormat="0" applyBorder="0" applyAlignment="0" applyProtection="0"/>
    <xf numFmtId="0" fontId="80" fillId="71" borderId="0" applyNumberFormat="0" applyBorder="0" applyAlignment="0" applyProtection="0"/>
    <xf numFmtId="0" fontId="80" fillId="71"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74" borderId="0" applyNumberFormat="0" applyBorder="0" applyAlignment="0" applyProtection="0"/>
    <xf numFmtId="0" fontId="80" fillId="82" borderId="0" applyNumberFormat="0" applyBorder="0" applyAlignment="0" applyProtection="0"/>
    <xf numFmtId="0" fontId="80" fillId="66"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0" fillId="78"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4"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66" borderId="0" applyNumberFormat="0" applyBorder="0" applyAlignment="0" applyProtection="0"/>
    <xf numFmtId="0" fontId="80" fillId="74" borderId="0" applyNumberFormat="0" applyBorder="0" applyAlignment="0" applyProtection="0"/>
    <xf numFmtId="0" fontId="80" fillId="66"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65"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80" fillId="68"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80" fillId="68"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75" borderId="0" applyNumberFormat="0" applyBorder="0" applyAlignment="0" applyProtection="0"/>
    <xf numFmtId="0" fontId="80" fillId="88" borderId="0" applyNumberFormat="0" applyBorder="0" applyAlignment="0" applyProtection="0"/>
    <xf numFmtId="0" fontId="80" fillId="87" borderId="0" applyNumberFormat="0" applyBorder="0" applyAlignment="0" applyProtection="0"/>
    <xf numFmtId="0" fontId="80" fillId="89" borderId="0" applyNumberFormat="0" applyBorder="0" applyAlignment="0" applyProtection="0"/>
    <xf numFmtId="0" fontId="80" fillId="89" borderId="0" applyNumberFormat="0" applyBorder="0" applyAlignment="0" applyProtection="0"/>
    <xf numFmtId="0" fontId="80" fillId="89" borderId="0" applyNumberFormat="0" applyBorder="0" applyAlignment="0" applyProtection="0"/>
    <xf numFmtId="0" fontId="80" fillId="89" borderId="0" applyNumberFormat="0" applyBorder="0" applyAlignment="0" applyProtection="0"/>
    <xf numFmtId="0" fontId="80" fillId="89" borderId="0" applyNumberFormat="0" applyBorder="0" applyAlignment="0" applyProtection="0"/>
    <xf numFmtId="0" fontId="80" fillId="89" borderId="0" applyNumberFormat="0" applyBorder="0" applyAlignment="0" applyProtection="0"/>
    <xf numFmtId="0" fontId="80" fillId="89" borderId="0" applyNumberFormat="0" applyBorder="0" applyAlignment="0" applyProtection="0"/>
    <xf numFmtId="0" fontId="80" fillId="89" borderId="0" applyNumberFormat="0" applyBorder="0" applyAlignment="0" applyProtection="0"/>
    <xf numFmtId="0" fontId="80" fillId="85" borderId="0" applyNumberFormat="0" applyBorder="0" applyAlignment="0" applyProtection="0"/>
    <xf numFmtId="0" fontId="80" fillId="85" borderId="0" applyNumberFormat="0" applyBorder="0" applyAlignment="0" applyProtection="0"/>
    <xf numFmtId="0" fontId="80" fillId="85" borderId="0" applyNumberFormat="0" applyBorder="0" applyAlignment="0" applyProtection="0"/>
    <xf numFmtId="0" fontId="80" fillId="85" borderId="0" applyNumberFormat="0" applyBorder="0" applyAlignment="0" applyProtection="0"/>
    <xf numFmtId="0" fontId="80" fillId="85" borderId="0" applyNumberFormat="0" applyBorder="0" applyAlignment="0" applyProtection="0"/>
    <xf numFmtId="0" fontId="80" fillId="85" borderId="0" applyNumberFormat="0" applyBorder="0" applyAlignment="0" applyProtection="0"/>
    <xf numFmtId="0" fontId="80" fillId="89" borderId="0" applyNumberFormat="0" applyBorder="0" applyAlignment="0" applyProtection="0"/>
    <xf numFmtId="0" fontId="80" fillId="89" borderId="0" applyNumberFormat="0" applyBorder="0" applyAlignment="0" applyProtection="0"/>
    <xf numFmtId="0" fontId="80" fillId="89" borderId="0" applyNumberFormat="0" applyBorder="0" applyAlignment="0" applyProtection="0"/>
    <xf numFmtId="0" fontId="80" fillId="89" borderId="0" applyNumberFormat="0" applyBorder="0" applyAlignment="0" applyProtection="0"/>
    <xf numFmtId="0" fontId="103" fillId="86" borderId="0" applyNumberFormat="0" applyBorder="0" applyAlignment="0" applyProtection="0"/>
    <xf numFmtId="0" fontId="103" fillId="86" borderId="0" applyNumberFormat="0" applyBorder="0" applyAlignment="0" applyProtection="0"/>
    <xf numFmtId="0" fontId="103" fillId="86" borderId="0" applyNumberFormat="0" applyBorder="0" applyAlignment="0" applyProtection="0"/>
    <xf numFmtId="0" fontId="103" fillId="86" borderId="0" applyNumberFormat="0" applyBorder="0" applyAlignment="0" applyProtection="0"/>
    <xf numFmtId="0" fontId="103" fillId="86" borderId="0" applyNumberFormat="0" applyBorder="0" applyAlignment="0" applyProtection="0"/>
    <xf numFmtId="0" fontId="103" fillId="86" borderId="0" applyNumberFormat="0" applyBorder="0" applyAlignment="0" applyProtection="0"/>
    <xf numFmtId="0" fontId="103" fillId="86" borderId="0" applyNumberFormat="0" applyBorder="0" applyAlignment="0" applyProtection="0"/>
    <xf numFmtId="0" fontId="103" fillId="86" borderId="0" applyNumberFormat="0" applyBorder="0" applyAlignment="0" applyProtection="0"/>
    <xf numFmtId="0" fontId="104" fillId="50"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104" fillId="50" borderId="0" applyNumberFormat="0" applyBorder="0" applyAlignment="0" applyProtection="0"/>
    <xf numFmtId="0" fontId="86" fillId="50" borderId="0" applyNumberFormat="0" applyBorder="0" applyAlignment="0" applyProtection="0"/>
    <xf numFmtId="0" fontId="104" fillId="50" borderId="0" applyNumberFormat="0" applyBorder="0" applyAlignment="0" applyProtection="0"/>
    <xf numFmtId="0" fontId="86"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86"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103" fillId="86" borderId="0" applyNumberFormat="0" applyBorder="0" applyAlignment="0" applyProtection="0"/>
    <xf numFmtId="0" fontId="103" fillId="86" borderId="0" applyNumberFormat="0" applyBorder="0" applyAlignment="0" applyProtection="0"/>
    <xf numFmtId="0" fontId="103" fillId="86" borderId="0" applyNumberFormat="0" applyBorder="0" applyAlignment="0" applyProtection="0"/>
    <xf numFmtId="178" fontId="79" fillId="0" borderId="12"/>
    <xf numFmtId="0" fontId="105" fillId="91" borderId="14" applyNumberFormat="0" applyAlignment="0" applyProtection="0"/>
    <xf numFmtId="0" fontId="105" fillId="91" borderId="14" applyNumberFormat="0" applyAlignment="0" applyProtection="0"/>
    <xf numFmtId="0" fontId="105" fillId="91" borderId="14" applyNumberFormat="0" applyAlignment="0" applyProtection="0"/>
    <xf numFmtId="0" fontId="105" fillId="91" borderId="14" applyNumberFormat="0" applyAlignment="0" applyProtection="0"/>
    <xf numFmtId="0" fontId="105" fillId="91" borderId="14" applyNumberFormat="0" applyAlignment="0" applyProtection="0"/>
    <xf numFmtId="0" fontId="105" fillId="91" borderId="14" applyNumberFormat="0" applyAlignment="0" applyProtection="0"/>
    <xf numFmtId="0" fontId="105" fillId="91" borderId="14" applyNumberFormat="0" applyAlignment="0" applyProtection="0"/>
    <xf numFmtId="0" fontId="87" fillId="90" borderId="13" applyNumberFormat="0" applyAlignment="0" applyProtection="0"/>
    <xf numFmtId="0" fontId="87" fillId="90" borderId="13" applyNumberFormat="0" applyAlignment="0" applyProtection="0"/>
    <xf numFmtId="0" fontId="87" fillId="90" borderId="13" applyNumberFormat="0" applyAlignment="0" applyProtection="0"/>
    <xf numFmtId="0" fontId="87" fillId="90" borderId="13" applyNumberFormat="0" applyAlignment="0" applyProtection="0"/>
    <xf numFmtId="0" fontId="87" fillId="90" borderId="13" applyNumberFormat="0" applyAlignment="0" applyProtection="0"/>
    <xf numFmtId="0" fontId="87" fillId="90" borderId="13" applyNumberFormat="0" applyAlignment="0" applyProtection="0"/>
    <xf numFmtId="0" fontId="105" fillId="91" borderId="14" applyNumberFormat="0" applyAlignment="0" applyProtection="0"/>
    <xf numFmtId="0" fontId="105" fillId="91" borderId="14" applyNumberFormat="0" applyAlignment="0" applyProtection="0"/>
    <xf numFmtId="0" fontId="105" fillId="91" borderId="14" applyNumberFormat="0" applyAlignment="0" applyProtection="0"/>
    <xf numFmtId="0" fontId="105" fillId="91" borderId="14" applyNumberFormat="0" applyAlignment="0" applyProtection="0"/>
    <xf numFmtId="0" fontId="6" fillId="92" borderId="0" applyNumberFormat="0" applyBorder="0" applyProtection="0">
      <alignment horizontal="left" vertical="top"/>
    </xf>
    <xf numFmtId="0" fontId="88" fillId="84" borderId="15" applyNumberFormat="0" applyAlignment="0" applyProtection="0"/>
    <xf numFmtId="0" fontId="88" fillId="84" borderId="15" applyNumberFormat="0" applyAlignment="0" applyProtection="0"/>
    <xf numFmtId="0" fontId="88" fillId="84" borderId="15" applyNumberFormat="0" applyAlignment="0" applyProtection="0"/>
    <xf numFmtId="0" fontId="88" fillId="84" borderId="15" applyNumberFormat="0" applyAlignment="0" applyProtection="0"/>
    <xf numFmtId="0" fontId="88" fillId="84" borderId="15" applyNumberFormat="0" applyAlignment="0" applyProtection="0"/>
    <xf numFmtId="0" fontId="88" fillId="84" borderId="15" applyNumberFormat="0" applyAlignment="0" applyProtection="0"/>
    <xf numFmtId="0" fontId="88" fillId="84" borderId="15" applyNumberFormat="0" applyAlignment="0" applyProtection="0"/>
    <xf numFmtId="0" fontId="88" fillId="84" borderId="15" applyNumberFormat="0" applyAlignment="0" applyProtection="0"/>
    <xf numFmtId="0" fontId="88" fillId="93" borderId="15" applyNumberFormat="0" applyAlignment="0" applyProtection="0"/>
    <xf numFmtId="0" fontId="88" fillId="93" borderId="15" applyNumberFormat="0" applyAlignment="0" applyProtection="0"/>
    <xf numFmtId="0" fontId="88" fillId="93" borderId="15" applyNumberFormat="0" applyAlignment="0" applyProtection="0"/>
    <xf numFmtId="0" fontId="88" fillId="93" borderId="15" applyNumberFormat="0" applyAlignment="0" applyProtection="0"/>
    <xf numFmtId="0" fontId="88" fillId="93" borderId="15" applyNumberFormat="0" applyAlignment="0" applyProtection="0"/>
    <xf numFmtId="0" fontId="88" fillId="93" borderId="15" applyNumberFormat="0" applyAlignment="0" applyProtection="0"/>
    <xf numFmtId="0" fontId="88" fillId="93" borderId="15" applyNumberFormat="0" applyAlignment="0" applyProtection="0"/>
    <xf numFmtId="0" fontId="88" fillId="84" borderId="15" applyNumberFormat="0" applyAlignment="0" applyProtection="0"/>
    <xf numFmtId="0" fontId="88" fillId="84" borderId="15" applyNumberFormat="0" applyAlignment="0" applyProtection="0"/>
    <xf numFmtId="0" fontId="88" fillId="84" borderId="15" applyNumberFormat="0" applyAlignment="0" applyProtection="0"/>
    <xf numFmtId="0" fontId="88" fillId="84"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9" fillId="96" borderId="0" applyNumberFormat="0" applyBorder="0" applyAlignment="0" applyProtection="0"/>
    <xf numFmtId="0" fontId="99" fillId="96"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7" borderId="14" applyNumberFormat="0" applyAlignment="0" applyProtection="0"/>
    <xf numFmtId="0" fontId="110" fillId="87" borderId="14" applyNumberFormat="0" applyAlignment="0" applyProtection="0"/>
    <xf numFmtId="0" fontId="110" fillId="87" borderId="14" applyNumberFormat="0" applyAlignment="0" applyProtection="0"/>
    <xf numFmtId="0" fontId="110" fillId="87" borderId="14" applyNumberFormat="0" applyAlignment="0" applyProtection="0"/>
    <xf numFmtId="0" fontId="110" fillId="87" borderId="14" applyNumberFormat="0" applyAlignment="0" applyProtection="0"/>
    <xf numFmtId="0" fontId="110" fillId="87" borderId="14" applyNumberFormat="0" applyAlignment="0" applyProtection="0"/>
    <xf numFmtId="0" fontId="110" fillId="87" borderId="14" applyNumberFormat="0" applyAlignment="0" applyProtection="0"/>
    <xf numFmtId="0" fontId="94" fillId="54" borderId="13" applyNumberFormat="0" applyAlignment="0" applyProtection="0"/>
    <xf numFmtId="0" fontId="94" fillId="54" borderId="13" applyNumberFormat="0" applyAlignment="0" applyProtection="0"/>
    <xf numFmtId="0" fontId="94" fillId="54" borderId="13" applyNumberFormat="0" applyAlignment="0" applyProtection="0"/>
    <xf numFmtId="0" fontId="94" fillId="54" borderId="13" applyNumberFormat="0" applyAlignment="0" applyProtection="0"/>
    <xf numFmtId="0" fontId="94" fillId="54" borderId="13" applyNumberFormat="0" applyAlignment="0" applyProtection="0"/>
    <xf numFmtId="0" fontId="94" fillId="54" borderId="13" applyNumberFormat="0" applyAlignment="0" applyProtection="0"/>
    <xf numFmtId="0" fontId="110" fillId="87" borderId="14" applyNumberFormat="0" applyAlignment="0" applyProtection="0"/>
    <xf numFmtId="0" fontId="110" fillId="87" borderId="14" applyNumberFormat="0" applyAlignment="0" applyProtection="0"/>
    <xf numFmtId="0" fontId="110" fillId="87" borderId="14" applyNumberFormat="0" applyAlignment="0" applyProtection="0"/>
    <xf numFmtId="0" fontId="110" fillId="87"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7" borderId="0"/>
    <xf numFmtId="0" fontId="118" fillId="19" borderId="0" applyNumberFormat="0" applyBorder="0" applyAlignment="0" applyProtection="0"/>
    <xf numFmtId="0" fontId="85" fillId="87" borderId="0" applyNumberFormat="0" applyBorder="0" applyAlignment="0" applyProtection="0"/>
    <xf numFmtId="0" fontId="85" fillId="87" borderId="0" applyNumberFormat="0" applyBorder="0" applyAlignment="0" applyProtection="0"/>
    <xf numFmtId="0" fontId="85" fillId="87" borderId="0" applyNumberFormat="0" applyBorder="0" applyAlignment="0" applyProtection="0"/>
    <xf numFmtId="0" fontId="85" fillId="87" borderId="0" applyNumberFormat="0" applyBorder="0" applyAlignment="0" applyProtection="0"/>
    <xf numFmtId="0" fontId="85" fillId="87" borderId="0" applyNumberFormat="0" applyBorder="0" applyAlignment="0" applyProtection="0"/>
    <xf numFmtId="0" fontId="85" fillId="87" borderId="0" applyNumberFormat="0" applyBorder="0" applyAlignment="0" applyProtection="0"/>
    <xf numFmtId="0" fontId="85" fillId="87" borderId="0" applyNumberFormat="0" applyBorder="0" applyAlignment="0" applyProtection="0"/>
    <xf numFmtId="0" fontId="96" fillId="98" borderId="0" applyNumberFormat="0" applyBorder="0" applyAlignment="0" applyProtection="0"/>
    <xf numFmtId="0" fontId="96" fillId="98" borderId="0" applyNumberFormat="0" applyBorder="0" applyAlignment="0" applyProtection="0"/>
    <xf numFmtId="0" fontId="96" fillId="98" borderId="0" applyNumberFormat="0" applyBorder="0" applyAlignment="0" applyProtection="0"/>
    <xf numFmtId="0" fontId="96" fillId="98" borderId="0" applyNumberFormat="0" applyBorder="0" applyAlignment="0" applyProtection="0"/>
    <xf numFmtId="0" fontId="96" fillId="98" borderId="0" applyNumberFormat="0" applyBorder="0" applyAlignment="0" applyProtection="0"/>
    <xf numFmtId="0" fontId="96" fillId="98" borderId="0" applyNumberFormat="0" applyBorder="0" applyAlignment="0" applyProtection="0"/>
    <xf numFmtId="0" fontId="85" fillId="87" borderId="0" applyNumberFormat="0" applyBorder="0" applyAlignment="0" applyProtection="0"/>
    <xf numFmtId="0" fontId="85" fillId="87" borderId="0" applyNumberFormat="0" applyBorder="0" applyAlignment="0" applyProtection="0"/>
    <xf numFmtId="0" fontId="85" fillId="87" borderId="0" applyNumberFormat="0" applyBorder="0" applyAlignment="0" applyProtection="0"/>
    <xf numFmtId="0" fontId="85" fillId="87"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9" borderId="0"/>
    <xf numFmtId="0" fontId="14" fillId="99" borderId="0"/>
    <xf numFmtId="0" fontId="14" fillId="99" borderId="0"/>
    <xf numFmtId="0" fontId="58" fillId="0" borderId="0"/>
    <xf numFmtId="0" fontId="14" fillId="99" borderId="0"/>
    <xf numFmtId="0" fontId="112" fillId="0" borderId="0"/>
    <xf numFmtId="0" fontId="14" fillId="99" borderId="0"/>
    <xf numFmtId="0" fontId="4" fillId="0" borderId="0"/>
    <xf numFmtId="0" fontId="2" fillId="0" borderId="0"/>
    <xf numFmtId="0" fontId="78" fillId="0" borderId="0"/>
    <xf numFmtId="0" fontId="2" fillId="0" borderId="0"/>
    <xf numFmtId="0" fontId="14" fillId="99"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6" borderId="14" applyNumberFormat="0" applyFont="0" applyAlignment="0" applyProtection="0"/>
    <xf numFmtId="0" fontId="14" fillId="86" borderId="14" applyNumberFormat="0" applyFont="0" applyAlignment="0" applyProtection="0"/>
    <xf numFmtId="0" fontId="14" fillId="86" borderId="14" applyNumberFormat="0" applyFont="0" applyAlignment="0" applyProtection="0"/>
    <xf numFmtId="0" fontId="14" fillId="86" borderId="14" applyNumberFormat="0" applyFont="0" applyAlignment="0" applyProtection="0"/>
    <xf numFmtId="0" fontId="14" fillId="86" borderId="14" applyNumberFormat="0" applyFont="0" applyAlignment="0" applyProtection="0"/>
    <xf numFmtId="0" fontId="14" fillId="86" borderId="14" applyNumberFormat="0" applyFont="0" applyAlignment="0" applyProtection="0"/>
    <xf numFmtId="0" fontId="14" fillId="86" borderId="14" applyNumberFormat="0" applyFont="0" applyAlignment="0" applyProtection="0"/>
    <xf numFmtId="0" fontId="2" fillId="24" borderId="10" applyNumberFormat="0" applyFont="0" applyAlignment="0" applyProtection="0"/>
    <xf numFmtId="0" fontId="5" fillId="100" borderId="24" applyNumberFormat="0" applyFont="0" applyAlignment="0" applyProtection="0"/>
    <xf numFmtId="0" fontId="5" fillId="100" borderId="24" applyNumberFormat="0" applyFont="0" applyAlignment="0" applyProtection="0"/>
    <xf numFmtId="0" fontId="5" fillId="100" borderId="24" applyNumberFormat="0" applyFont="0" applyAlignment="0" applyProtection="0"/>
    <xf numFmtId="0" fontId="5" fillId="100" borderId="24" applyNumberFormat="0" applyFont="0" applyAlignment="0" applyProtection="0"/>
    <xf numFmtId="0" fontId="5" fillId="100" borderId="24" applyNumberFormat="0" applyFont="0" applyAlignment="0" applyProtection="0"/>
    <xf numFmtId="0" fontId="5" fillId="100" borderId="24" applyNumberFormat="0" applyFont="0" applyAlignment="0" applyProtection="0"/>
    <xf numFmtId="0" fontId="5" fillId="100" borderId="24" applyNumberFormat="0" applyFont="0" applyAlignment="0" applyProtection="0"/>
    <xf numFmtId="0" fontId="5" fillId="100" borderId="24" applyNumberFormat="0" applyFont="0" applyAlignment="0" applyProtection="0"/>
    <xf numFmtId="0" fontId="5" fillId="100" borderId="24" applyNumberFormat="0" applyFont="0" applyAlignment="0" applyProtection="0"/>
    <xf numFmtId="0" fontId="5" fillId="100" borderId="24" applyNumberFormat="0" applyFont="0" applyAlignment="0" applyProtection="0"/>
    <xf numFmtId="0" fontId="5" fillId="100" borderId="24" applyNumberFormat="0" applyFont="0" applyAlignment="0" applyProtection="0"/>
    <xf numFmtId="0" fontId="5" fillId="100" borderId="24" applyNumberFormat="0" applyFont="0" applyAlignment="0" applyProtection="0"/>
    <xf numFmtId="0" fontId="14" fillId="86" borderId="14" applyNumberFormat="0" applyFont="0" applyAlignment="0" applyProtection="0"/>
    <xf numFmtId="0" fontId="14" fillId="86" borderId="14" applyNumberFormat="0" applyFont="0" applyAlignment="0" applyProtection="0"/>
    <xf numFmtId="0" fontId="14" fillId="86" borderId="14" applyNumberFormat="0" applyFont="0" applyAlignment="0" applyProtection="0"/>
    <xf numFmtId="0" fontId="14" fillId="86" borderId="14" applyNumberFormat="0" applyFont="0" applyAlignment="0" applyProtection="0"/>
    <xf numFmtId="0" fontId="97" fillId="91" borderId="25" applyNumberFormat="0" applyAlignment="0" applyProtection="0"/>
    <xf numFmtId="0" fontId="97" fillId="91" borderId="25" applyNumberFormat="0" applyAlignment="0" applyProtection="0"/>
    <xf numFmtId="0" fontId="97" fillId="91" borderId="25" applyNumberFormat="0" applyAlignment="0" applyProtection="0"/>
    <xf numFmtId="0" fontId="97" fillId="91" borderId="25" applyNumberFormat="0" applyAlignment="0" applyProtection="0"/>
    <xf numFmtId="0" fontId="97" fillId="91" borderId="25" applyNumberFormat="0" applyAlignment="0" applyProtection="0"/>
    <xf numFmtId="0" fontId="97" fillId="91" borderId="25" applyNumberFormat="0" applyAlignment="0" applyProtection="0"/>
    <xf numFmtId="0" fontId="97" fillId="91" borderId="25" applyNumberFormat="0" applyAlignment="0" applyProtection="0"/>
    <xf numFmtId="0" fontId="97" fillId="91"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1" borderId="25" applyNumberFormat="0" applyAlignment="0" applyProtection="0"/>
    <xf numFmtId="0" fontId="97" fillId="91" borderId="25" applyNumberFormat="0" applyAlignment="0" applyProtection="0"/>
    <xf numFmtId="0" fontId="97" fillId="91" borderId="25" applyNumberFormat="0" applyAlignment="0" applyProtection="0"/>
    <xf numFmtId="0" fontId="97" fillId="91" borderId="25" applyNumberFormat="0" applyAlignment="0" applyProtection="0"/>
    <xf numFmtId="9" fontId="5" fillId="0" borderId="0" applyFont="0" applyFill="0" applyBorder="0" applyAlignment="0" applyProtection="0"/>
    <xf numFmtId="4" fontId="14" fillId="98" borderId="14" applyNumberFormat="0" applyProtection="0">
      <alignment vertical="center"/>
    </xf>
    <xf numFmtId="4" fontId="14" fillId="98" borderId="14" applyNumberFormat="0" applyProtection="0">
      <alignment vertical="center"/>
    </xf>
    <xf numFmtId="4" fontId="102" fillId="98" borderId="26" applyNumberFormat="0" applyProtection="0">
      <alignment vertical="center"/>
    </xf>
    <xf numFmtId="4" fontId="14" fillId="98" borderId="14" applyNumberFormat="0" applyProtection="0">
      <alignment vertical="center"/>
    </xf>
    <xf numFmtId="4" fontId="81" fillId="101" borderId="14" applyNumberFormat="0" applyProtection="0">
      <alignment vertical="center"/>
    </xf>
    <xf numFmtId="4" fontId="113" fillId="98" borderId="26" applyNumberFormat="0" applyProtection="0">
      <alignment vertical="center"/>
    </xf>
    <xf numFmtId="4" fontId="14" fillId="101" borderId="14" applyNumberFormat="0" applyProtection="0">
      <alignment horizontal="left" vertical="center" indent="1"/>
    </xf>
    <xf numFmtId="4" fontId="14" fillId="101" borderId="14" applyNumberFormat="0" applyProtection="0">
      <alignment horizontal="left" vertical="center" indent="1"/>
    </xf>
    <xf numFmtId="4" fontId="102" fillId="98" borderId="26" applyNumberFormat="0" applyProtection="0">
      <alignment horizontal="left" vertical="center" indent="1"/>
    </xf>
    <xf numFmtId="4" fontId="14" fillId="101" borderId="14" applyNumberFormat="0" applyProtection="0">
      <alignment horizontal="left" vertical="center" indent="1"/>
    </xf>
    <xf numFmtId="0" fontId="54" fillId="98" borderId="26" applyNumberFormat="0" applyProtection="0">
      <alignment horizontal="left" vertical="top" indent="1"/>
    </xf>
    <xf numFmtId="0" fontId="102" fillId="98" borderId="26" applyNumberFormat="0" applyProtection="0">
      <alignment horizontal="left" vertical="top" indent="1"/>
    </xf>
    <xf numFmtId="4" fontId="14" fillId="61" borderId="14" applyNumberFormat="0" applyProtection="0">
      <alignment horizontal="left" vertical="center" indent="1"/>
    </xf>
    <xf numFmtId="4" fontId="14" fillId="61" borderId="14" applyNumberFormat="0" applyProtection="0">
      <alignment horizontal="left" vertical="center" indent="1"/>
    </xf>
    <xf numFmtId="4" fontId="102" fillId="102" borderId="0" applyNumberFormat="0" applyProtection="0">
      <alignment horizontal="left" vertical="center" indent="1"/>
    </xf>
    <xf numFmtId="4" fontId="14" fillId="61" borderId="14" applyNumberFormat="0" applyProtection="0">
      <alignment horizontal="left" vertical="center" indent="1"/>
    </xf>
    <xf numFmtId="4" fontId="14" fillId="50" borderId="14" applyNumberFormat="0" applyProtection="0">
      <alignment horizontal="right" vertical="center"/>
    </xf>
    <xf numFmtId="4" fontId="14" fillId="50" borderId="14" applyNumberFormat="0" applyProtection="0">
      <alignment horizontal="right" vertical="center"/>
    </xf>
    <xf numFmtId="4" fontId="58" fillId="50" borderId="26" applyNumberFormat="0" applyProtection="0">
      <alignment horizontal="right" vertical="center"/>
    </xf>
    <xf numFmtId="4" fontId="14" fillId="50"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56" borderId="26" applyNumberFormat="0" applyProtection="0">
      <alignment horizontal="right" vertical="center"/>
    </xf>
    <xf numFmtId="4" fontId="14" fillId="103" borderId="14" applyNumberFormat="0" applyProtection="0">
      <alignment horizontal="right" vertical="center"/>
    </xf>
    <xf numFmtId="4" fontId="14" fillId="71" borderId="27" applyNumberFormat="0" applyProtection="0">
      <alignment horizontal="right" vertical="center"/>
    </xf>
    <xf numFmtId="4" fontId="14" fillId="71" borderId="27" applyNumberFormat="0" applyProtection="0">
      <alignment horizontal="right" vertical="center"/>
    </xf>
    <xf numFmtId="4" fontId="58" fillId="71" borderId="26" applyNumberFormat="0" applyProtection="0">
      <alignment horizontal="right" vertical="center"/>
    </xf>
    <xf numFmtId="4" fontId="14" fillId="71" borderId="27" applyNumberFormat="0" applyProtection="0">
      <alignment horizontal="right" vertical="center"/>
    </xf>
    <xf numFmtId="4" fontId="14" fillId="58" borderId="14" applyNumberFormat="0" applyProtection="0">
      <alignment horizontal="right" vertical="center"/>
    </xf>
    <xf numFmtId="4" fontId="14" fillId="58" borderId="14" applyNumberFormat="0" applyProtection="0">
      <alignment horizontal="right" vertical="center"/>
    </xf>
    <xf numFmtId="4" fontId="58" fillId="58" borderId="26" applyNumberFormat="0" applyProtection="0">
      <alignment horizontal="right" vertical="center"/>
    </xf>
    <xf numFmtId="4" fontId="14" fillId="58" borderId="14" applyNumberFormat="0" applyProtection="0">
      <alignment horizontal="right" vertical="center"/>
    </xf>
    <xf numFmtId="4" fontId="14" fillId="62" borderId="14" applyNumberFormat="0" applyProtection="0">
      <alignment horizontal="right" vertical="center"/>
    </xf>
    <xf numFmtId="4" fontId="14" fillId="62" borderId="14" applyNumberFormat="0" applyProtection="0">
      <alignment horizontal="right" vertical="center"/>
    </xf>
    <xf numFmtId="4" fontId="58" fillId="62" borderId="26" applyNumberFormat="0" applyProtection="0">
      <alignment horizontal="right" vertical="center"/>
    </xf>
    <xf numFmtId="4" fontId="14" fillId="62" borderId="14" applyNumberFormat="0" applyProtection="0">
      <alignment horizontal="right" vertical="center"/>
    </xf>
    <xf numFmtId="4" fontId="14" fillId="85" borderId="14" applyNumberFormat="0" applyProtection="0">
      <alignment horizontal="right" vertical="center"/>
    </xf>
    <xf numFmtId="4" fontId="14" fillId="85" borderId="14" applyNumberFormat="0" applyProtection="0">
      <alignment horizontal="right" vertical="center"/>
    </xf>
    <xf numFmtId="4" fontId="58" fillId="85" borderId="26" applyNumberFormat="0" applyProtection="0">
      <alignment horizontal="right" vertical="center"/>
    </xf>
    <xf numFmtId="4" fontId="14" fillId="85" borderId="14" applyNumberFormat="0" applyProtection="0">
      <alignment horizontal="right" vertical="center"/>
    </xf>
    <xf numFmtId="4" fontId="14" fillId="78" borderId="14" applyNumberFormat="0" applyProtection="0">
      <alignment horizontal="right" vertical="center"/>
    </xf>
    <xf numFmtId="4" fontId="14" fillId="78" borderId="14" applyNumberFormat="0" applyProtection="0">
      <alignment horizontal="right" vertical="center"/>
    </xf>
    <xf numFmtId="4" fontId="58" fillId="78" borderId="26" applyNumberFormat="0" applyProtection="0">
      <alignment horizontal="right" vertical="center"/>
    </xf>
    <xf numFmtId="4" fontId="14" fillId="78" borderId="14" applyNumberFormat="0" applyProtection="0">
      <alignment horizontal="right" vertical="center"/>
    </xf>
    <xf numFmtId="4" fontId="14" fillId="104" borderId="14" applyNumberFormat="0" applyProtection="0">
      <alignment horizontal="right" vertical="center"/>
    </xf>
    <xf numFmtId="4" fontId="14" fillId="104" borderId="14" applyNumberFormat="0" applyProtection="0">
      <alignment horizontal="right" vertical="center"/>
    </xf>
    <xf numFmtId="4" fontId="58" fillId="104" borderId="26" applyNumberFormat="0" applyProtection="0">
      <alignment horizontal="right" vertical="center"/>
    </xf>
    <xf numFmtId="4" fontId="14" fillId="104" borderId="14"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105" borderId="27" applyNumberFormat="0" applyProtection="0">
      <alignment horizontal="left" vertical="center" indent="1"/>
    </xf>
    <xf numFmtId="4" fontId="14" fillId="105" borderId="27" applyNumberFormat="0" applyProtection="0">
      <alignment horizontal="left" vertical="center" indent="1"/>
    </xf>
    <xf numFmtId="4" fontId="102" fillId="105" borderId="28" applyNumberFormat="0" applyProtection="0">
      <alignment horizontal="left" vertical="center" indent="1"/>
    </xf>
    <xf numFmtId="4" fontId="14" fillId="105" borderId="27" applyNumberFormat="0" applyProtection="0">
      <alignment horizontal="left" vertical="center" indent="1"/>
    </xf>
    <xf numFmtId="4" fontId="5" fillId="106" borderId="27" applyNumberFormat="0" applyProtection="0">
      <alignment horizontal="left" vertical="center" indent="1"/>
    </xf>
    <xf numFmtId="4" fontId="5" fillId="106" borderId="27" applyNumberFormat="0" applyProtection="0">
      <alignment horizontal="left" vertical="center" indent="1"/>
    </xf>
    <xf numFmtId="4" fontId="58" fillId="107" borderId="0" applyNumberFormat="0" applyProtection="0">
      <alignment horizontal="left" vertical="center" indent="1"/>
    </xf>
    <xf numFmtId="4" fontId="5" fillId="106" borderId="27" applyNumberFormat="0" applyProtection="0">
      <alignment horizontal="left" vertical="center" indent="1"/>
    </xf>
    <xf numFmtId="4" fontId="5" fillId="106" borderId="27" applyNumberFormat="0" applyProtection="0">
      <alignment horizontal="left" vertical="center" indent="1"/>
    </xf>
    <xf numFmtId="4" fontId="5" fillId="106" borderId="27" applyNumberFormat="0" applyProtection="0">
      <alignment horizontal="left" vertical="center" indent="1"/>
    </xf>
    <xf numFmtId="4" fontId="114" fillId="106" borderId="0" applyNumberFormat="0" applyProtection="0">
      <alignment horizontal="left" vertical="center" indent="1"/>
    </xf>
    <xf numFmtId="4" fontId="5" fillId="106" borderId="27" applyNumberFormat="0" applyProtection="0">
      <alignment horizontal="left" vertical="center" indent="1"/>
    </xf>
    <xf numFmtId="4" fontId="14" fillId="102" borderId="14" applyNumberFormat="0" applyProtection="0">
      <alignment horizontal="right" vertical="center"/>
    </xf>
    <xf numFmtId="4" fontId="14" fillId="102" borderId="14" applyNumberFormat="0" applyProtection="0">
      <alignment horizontal="right" vertical="center"/>
    </xf>
    <xf numFmtId="4" fontId="58" fillId="102" borderId="26" applyNumberFormat="0" applyProtection="0">
      <alignment horizontal="right" vertical="center"/>
    </xf>
    <xf numFmtId="4" fontId="14" fillId="102" borderId="14" applyNumberFormat="0" applyProtection="0">
      <alignment horizontal="right" vertical="center"/>
    </xf>
    <xf numFmtId="4" fontId="14" fillId="107" borderId="27" applyNumberFormat="0" applyProtection="0">
      <alignment horizontal="left" vertical="center" indent="1"/>
    </xf>
    <xf numFmtId="4" fontId="14" fillId="107" borderId="27" applyNumberFormat="0" applyProtection="0">
      <alignment horizontal="left" vertical="center" indent="1"/>
    </xf>
    <xf numFmtId="4" fontId="58" fillId="107" borderId="0" applyNumberFormat="0" applyProtection="0">
      <alignment horizontal="left" vertical="center" indent="1"/>
    </xf>
    <xf numFmtId="4" fontId="14" fillId="107" borderId="27" applyNumberFormat="0" applyProtection="0">
      <alignment horizontal="left" vertical="center" indent="1"/>
    </xf>
    <xf numFmtId="4" fontId="14" fillId="102" borderId="27" applyNumberFormat="0" applyProtection="0">
      <alignment horizontal="left" vertical="center" indent="1"/>
    </xf>
    <xf numFmtId="4" fontId="14" fillId="102" borderId="27" applyNumberFormat="0" applyProtection="0">
      <alignment horizontal="left" vertical="center" indent="1"/>
    </xf>
    <xf numFmtId="4" fontId="58" fillId="102" borderId="0" applyNumberFormat="0" applyProtection="0">
      <alignment horizontal="left" vertical="center" indent="1"/>
    </xf>
    <xf numFmtId="4" fontId="14" fillId="102" borderId="27" applyNumberFormat="0" applyProtection="0">
      <alignment horizontal="left" vertical="center" indent="1"/>
    </xf>
    <xf numFmtId="0" fontId="14" fillId="90" borderId="14" applyNumberFormat="0" applyProtection="0">
      <alignment horizontal="left" vertical="center" indent="1"/>
    </xf>
    <xf numFmtId="0" fontId="14" fillId="90" borderId="14" applyNumberFormat="0" applyProtection="0">
      <alignment horizontal="left" vertical="center" indent="1"/>
    </xf>
    <xf numFmtId="0" fontId="5" fillId="106" borderId="26" applyNumberFormat="0" applyProtection="0">
      <alignment horizontal="left" vertical="center" indent="1"/>
    </xf>
    <xf numFmtId="0" fontId="14" fillId="90"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14" applyNumberFormat="0" applyProtection="0">
      <alignment horizontal="left" vertical="center" indent="1"/>
    </xf>
    <xf numFmtId="0" fontId="14" fillId="108" borderId="14" applyNumberFormat="0" applyProtection="0">
      <alignment horizontal="left" vertical="center" indent="1"/>
    </xf>
    <xf numFmtId="0" fontId="5" fillId="102" borderId="26" applyNumberFormat="0" applyProtection="0">
      <alignment horizontal="left" vertical="center" indent="1"/>
    </xf>
    <xf numFmtId="0" fontId="14" fillId="108" borderId="14" applyNumberFormat="0" applyProtection="0">
      <alignment horizontal="left" vertical="center" indent="1"/>
    </xf>
    <xf numFmtId="0" fontId="14" fillId="102" borderId="26" applyNumberFormat="0" applyProtection="0">
      <alignment horizontal="left" vertical="top" indent="1"/>
    </xf>
    <xf numFmtId="0" fontId="5" fillId="102" borderId="26" applyNumberFormat="0" applyProtection="0">
      <alignment horizontal="left" vertical="top" indent="1"/>
    </xf>
    <xf numFmtId="0" fontId="14" fillId="102" borderId="26" applyNumberFormat="0" applyProtection="0">
      <alignment horizontal="left" vertical="top" indent="1"/>
    </xf>
    <xf numFmtId="0" fontId="14" fillId="55" borderId="14" applyNumberFormat="0" applyProtection="0">
      <alignment horizontal="left" vertical="center" indent="1"/>
    </xf>
    <xf numFmtId="0" fontId="14" fillId="55" borderId="14" applyNumberFormat="0" applyProtection="0">
      <alignment horizontal="left" vertical="center" indent="1"/>
    </xf>
    <xf numFmtId="0" fontId="5" fillId="55" borderId="26" applyNumberFormat="0" applyProtection="0">
      <alignment horizontal="left" vertical="center" indent="1"/>
    </xf>
    <xf numFmtId="0" fontId="14" fillId="55" borderId="14" applyNumberFormat="0" applyProtection="0">
      <alignment horizontal="left" vertical="center" indent="1"/>
    </xf>
    <xf numFmtId="0" fontId="14" fillId="55" borderId="26" applyNumberFormat="0" applyProtection="0">
      <alignment horizontal="left" vertical="top" indent="1"/>
    </xf>
    <xf numFmtId="0" fontId="5" fillId="5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7" borderId="26" applyNumberFormat="0" applyProtection="0">
      <alignment horizontal="left" vertical="center" indent="1"/>
    </xf>
    <xf numFmtId="0" fontId="14" fillId="107" borderId="14" applyNumberFormat="0" applyProtection="0">
      <alignment horizontal="left" vertical="center" indent="1"/>
    </xf>
    <xf numFmtId="0" fontId="14" fillId="107" borderId="26" applyNumberFormat="0" applyProtection="0">
      <alignment horizontal="left" vertical="top" indent="1"/>
    </xf>
    <xf numFmtId="0" fontId="5" fillId="107" borderId="26" applyNumberFormat="0" applyProtection="0">
      <alignment horizontal="left" vertical="top" indent="1"/>
    </xf>
    <xf numFmtId="0" fontId="14" fillId="109" borderId="29" applyNumberFormat="0">
      <protection locked="0"/>
    </xf>
    <xf numFmtId="0" fontId="5" fillId="109" borderId="30" applyNumberFormat="0">
      <protection locked="0"/>
    </xf>
    <xf numFmtId="0" fontId="13" fillId="106" borderId="31" applyBorder="0"/>
    <xf numFmtId="4" fontId="56" fillId="100" borderId="26" applyNumberFormat="0" applyProtection="0">
      <alignment vertical="center"/>
    </xf>
    <xf numFmtId="4" fontId="58" fillId="100" borderId="26" applyNumberFormat="0" applyProtection="0">
      <alignment vertical="center"/>
    </xf>
    <xf numFmtId="4" fontId="81" fillId="110" borderId="30" applyNumberFormat="0" applyProtection="0">
      <alignment vertical="center"/>
    </xf>
    <xf numFmtId="4" fontId="115" fillId="100" borderId="26" applyNumberFormat="0" applyProtection="0">
      <alignment vertical="center"/>
    </xf>
    <xf numFmtId="4" fontId="56" fillId="90" borderId="26" applyNumberFormat="0" applyProtection="0">
      <alignment horizontal="left" vertical="center" indent="1"/>
    </xf>
    <xf numFmtId="4" fontId="58" fillId="100" borderId="26" applyNumberFormat="0" applyProtection="0">
      <alignment horizontal="left" vertical="center" indent="1"/>
    </xf>
    <xf numFmtId="0" fontId="56" fillId="100" borderId="26" applyNumberFormat="0" applyProtection="0">
      <alignment horizontal="left" vertical="top" indent="1"/>
    </xf>
    <xf numFmtId="0" fontId="58" fillId="100"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7" borderId="26" applyNumberFormat="0" applyProtection="0">
      <alignment horizontal="right" vertical="center"/>
    </xf>
    <xf numFmtId="4" fontId="14" fillId="0" borderId="14" applyNumberFormat="0" applyProtection="0">
      <alignment horizontal="right" vertical="center"/>
    </xf>
    <xf numFmtId="4" fontId="81" fillId="111" borderId="14" applyNumberFormat="0" applyProtection="0">
      <alignment horizontal="right" vertical="center"/>
    </xf>
    <xf numFmtId="4" fontId="115" fillId="107" borderId="26" applyNumberFormat="0" applyProtection="0">
      <alignment horizontal="right" vertical="center"/>
    </xf>
    <xf numFmtId="4" fontId="14" fillId="61" borderId="14"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4" fontId="58" fillId="102" borderId="26" applyNumberFormat="0" applyProtection="0">
      <alignment horizontal="left" vertical="center" indent="1"/>
    </xf>
    <xf numFmtId="4" fontId="14" fillId="61" borderId="14" applyNumberFormat="0" applyProtection="0">
      <alignment horizontal="left" vertical="center" indent="1"/>
    </xf>
    <xf numFmtId="4" fontId="58" fillId="102" borderId="26"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 fillId="112" borderId="25" applyNumberFormat="0" applyProtection="0">
      <alignment horizontal="left" vertical="center" indent="1"/>
    </xf>
    <xf numFmtId="0" fontId="56" fillId="102" borderId="26" applyNumberFormat="0" applyProtection="0">
      <alignment horizontal="left" vertical="top" indent="1"/>
    </xf>
    <xf numFmtId="0" fontId="58" fillId="102" borderId="26" applyNumberFormat="0" applyProtection="0">
      <alignment horizontal="left" vertical="top" indent="1"/>
    </xf>
    <xf numFmtId="4" fontId="82" fillId="113" borderId="27" applyNumberFormat="0" applyProtection="0">
      <alignment horizontal="left" vertical="center" indent="1"/>
    </xf>
    <xf numFmtId="4" fontId="116" fillId="113" borderId="0" applyNumberFormat="0" applyProtection="0">
      <alignment horizontal="left" vertical="center" indent="1"/>
    </xf>
    <xf numFmtId="0" fontId="14" fillId="114" borderId="30"/>
    <xf numFmtId="0" fontId="14" fillId="114" borderId="30"/>
    <xf numFmtId="0" fontId="14" fillId="114" borderId="30"/>
    <xf numFmtId="4" fontId="83" fillId="109" borderId="14" applyNumberFormat="0" applyProtection="0">
      <alignment horizontal="right" vertical="center"/>
    </xf>
    <xf numFmtId="4" fontId="77" fillId="107"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9"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xf numFmtId="0" fontId="5" fillId="0" borderId="0"/>
  </cellStyleXfs>
  <cellXfs count="575">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20" borderId="0" xfId="0" applyNumberFormat="1" applyFont="1" applyFill="1"/>
    <xf numFmtId="0" fontId="22" fillId="20"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6" borderId="0" xfId="0" applyNumberFormat="1" applyFont="1" applyFill="1"/>
    <xf numFmtId="43" fontId="11" fillId="116" borderId="0" xfId="2" applyFont="1" applyFill="1" applyAlignment="1">
      <alignment horizontal="center" vertical="center" wrapText="1"/>
    </xf>
    <xf numFmtId="4" fontId="5" fillId="3" borderId="0" xfId="0" applyNumberFormat="1" applyFont="1" applyFill="1" applyAlignment="1">
      <alignment horizontal="left" wrapText="1"/>
    </xf>
    <xf numFmtId="4" fontId="6" fillId="117" borderId="0" xfId="0" applyNumberFormat="1" applyFont="1" applyFill="1"/>
    <xf numFmtId="0" fontId="5" fillId="117"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20" borderId="0" xfId="0" applyNumberFormat="1" applyFont="1" applyFill="1"/>
    <xf numFmtId="0" fontId="5" fillId="20"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20" borderId="34" xfId="0" applyFont="1" applyFill="1" applyBorder="1" applyAlignment="1">
      <alignment horizontal="center" vertical="center" wrapText="1" readingOrder="1"/>
    </xf>
    <xf numFmtId="0" fontId="131" fillId="121"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8" borderId="0" xfId="2" applyFont="1" applyFill="1" applyAlignment="1"/>
    <xf numFmtId="0" fontId="48" fillId="0" borderId="0" xfId="0" applyFont="1" applyAlignment="1">
      <alignment horizontal="left" vertical="center" indent="1"/>
    </xf>
    <xf numFmtId="4" fontId="0" fillId="0" borderId="0" xfId="0" applyNumberFormat="1"/>
    <xf numFmtId="171" fontId="120" fillId="115" borderId="0" xfId="2" applyNumberFormat="1" applyFont="1" applyFill="1" applyAlignment="1">
      <alignment horizontal="left" vertical="center"/>
    </xf>
    <xf numFmtId="43" fontId="135" fillId="0" borderId="0" xfId="2" applyFont="1" applyFill="1" applyAlignment="1"/>
    <xf numFmtId="179" fontId="58" fillId="122" borderId="36" xfId="67" applyNumberFormat="1" applyFont="1" applyFill="1" applyBorder="1" applyAlignment="1">
      <alignment horizontal="centerContinuous"/>
    </xf>
    <xf numFmtId="179" fontId="58" fillId="122" borderId="37" xfId="67" applyNumberFormat="1" applyFont="1" applyFill="1" applyBorder="1" applyAlignment="1">
      <alignment horizontal="centerContinuous"/>
    </xf>
    <xf numFmtId="4" fontId="136" fillId="122" borderId="37" xfId="67" applyNumberFormat="1" applyFont="1" applyFill="1" applyBorder="1"/>
    <xf numFmtId="49" fontId="58" fillId="122" borderId="37" xfId="67" applyNumberFormat="1" applyFont="1" applyFill="1" applyBorder="1" applyAlignment="1">
      <alignment horizontal="centerContinuous"/>
    </xf>
    <xf numFmtId="179" fontId="5" fillId="122" borderId="37" xfId="67" applyNumberFormat="1" applyFill="1" applyBorder="1" applyAlignment="1">
      <alignment horizontal="centerContinuous"/>
    </xf>
    <xf numFmtId="49" fontId="5" fillId="122" borderId="37" xfId="67" applyNumberFormat="1" applyFill="1" applyBorder="1" applyAlignment="1">
      <alignment horizontal="centerContinuous"/>
    </xf>
    <xf numFmtId="179" fontId="5" fillId="122" borderId="38" xfId="67" applyNumberFormat="1" applyFill="1" applyBorder="1" applyAlignment="1">
      <alignment horizontal="centerContinuous"/>
    </xf>
    <xf numFmtId="49" fontId="5" fillId="122" borderId="38" xfId="67" applyNumberFormat="1" applyFill="1" applyBorder="1" applyAlignment="1">
      <alignment horizontal="centerContinuous"/>
    </xf>
    <xf numFmtId="0" fontId="5" fillId="0" borderId="0" xfId="67"/>
    <xf numFmtId="179" fontId="58" fillId="123" borderId="0" xfId="67" applyNumberFormat="1" applyFont="1" applyFill="1"/>
    <xf numFmtId="4" fontId="136" fillId="123" borderId="0" xfId="67" applyNumberFormat="1" applyFont="1" applyFill="1"/>
    <xf numFmtId="49" fontId="58" fillId="123" borderId="0" xfId="67" applyNumberFormat="1" applyFont="1" applyFill="1"/>
    <xf numFmtId="179" fontId="5" fillId="123" borderId="0" xfId="67" applyNumberFormat="1" applyFill="1"/>
    <xf numFmtId="49" fontId="5" fillId="123" borderId="0" xfId="67" applyNumberFormat="1" applyFill="1"/>
    <xf numFmtId="179" fontId="58" fillId="122" borderId="39" xfId="67" applyNumberFormat="1" applyFont="1" applyFill="1" applyBorder="1"/>
    <xf numFmtId="179" fontId="58" fillId="122" borderId="40" xfId="67" applyNumberFormat="1" applyFont="1" applyFill="1" applyBorder="1"/>
    <xf numFmtId="4" fontId="136" fillId="122" borderId="40" xfId="67" applyNumberFormat="1" applyFont="1" applyFill="1" applyBorder="1"/>
    <xf numFmtId="49" fontId="58" fillId="122" borderId="40" xfId="67" applyNumberFormat="1" applyFont="1" applyFill="1" applyBorder="1"/>
    <xf numFmtId="180" fontId="5" fillId="122" borderId="40" xfId="67" applyNumberFormat="1" applyFill="1" applyBorder="1"/>
    <xf numFmtId="179" fontId="5" fillId="122" borderId="40" xfId="67" applyNumberFormat="1" applyFill="1" applyBorder="1"/>
    <xf numFmtId="49" fontId="5" fillId="122" borderId="40" xfId="67" applyNumberFormat="1" applyFill="1" applyBorder="1"/>
    <xf numFmtId="49" fontId="5" fillId="122" borderId="41" xfId="67" applyNumberFormat="1" applyFill="1" applyBorder="1"/>
    <xf numFmtId="179" fontId="58" fillId="122" borderId="42" xfId="67" applyNumberFormat="1" applyFont="1" applyFill="1" applyBorder="1"/>
    <xf numFmtId="179" fontId="58" fillId="122" borderId="43" xfId="67" applyNumberFormat="1" applyFont="1" applyFill="1" applyBorder="1"/>
    <xf numFmtId="4" fontId="136" fillId="122" borderId="43" xfId="67" applyNumberFormat="1" applyFont="1" applyFill="1" applyBorder="1"/>
    <xf numFmtId="49" fontId="58" fillId="122" borderId="43" xfId="67" applyNumberFormat="1" applyFont="1" applyFill="1" applyBorder="1"/>
    <xf numFmtId="181" fontId="5" fillId="122" borderId="43" xfId="67" applyNumberFormat="1" applyFill="1" applyBorder="1"/>
    <xf numFmtId="179" fontId="5" fillId="122" borderId="43" xfId="67" applyNumberFormat="1" applyFill="1" applyBorder="1"/>
    <xf numFmtId="49" fontId="5" fillId="122" borderId="43" xfId="67" applyNumberFormat="1" applyFill="1" applyBorder="1"/>
    <xf numFmtId="49" fontId="5" fillId="122" borderId="44" xfId="67" applyNumberFormat="1" applyFill="1" applyBorder="1"/>
    <xf numFmtId="179" fontId="56" fillId="122" borderId="36" xfId="67" applyNumberFormat="1" applyFont="1" applyFill="1" applyBorder="1" applyAlignment="1">
      <alignment horizontal="center"/>
    </xf>
    <xf numFmtId="4" fontId="56" fillId="122" borderId="36" xfId="67" applyNumberFormat="1" applyFont="1" applyFill="1" applyBorder="1"/>
    <xf numFmtId="49" fontId="14" fillId="122" borderId="27" xfId="67" applyNumberFormat="1" applyFont="1" applyFill="1" applyBorder="1" applyAlignment="1">
      <alignment horizontal="center"/>
    </xf>
    <xf numFmtId="49" fontId="56" fillId="122" borderId="36" xfId="67" applyNumberFormat="1" applyFont="1" applyFill="1" applyBorder="1" applyAlignment="1">
      <alignment horizontal="center"/>
    </xf>
    <xf numFmtId="179" fontId="14" fillId="122" borderId="36" xfId="67" applyNumberFormat="1" applyFont="1" applyFill="1" applyBorder="1" applyAlignment="1">
      <alignment horizontal="center"/>
    </xf>
    <xf numFmtId="179" fontId="14" fillId="122" borderId="27" xfId="67" applyNumberFormat="1" applyFont="1" applyFill="1" applyBorder="1" applyAlignment="1">
      <alignment horizontal="center"/>
    </xf>
    <xf numFmtId="179" fontId="56" fillId="122" borderId="45" xfId="67" applyNumberFormat="1" applyFont="1" applyFill="1" applyBorder="1" applyAlignment="1">
      <alignment horizontal="center"/>
    </xf>
    <xf numFmtId="4" fontId="56" fillId="122" borderId="45" xfId="67" applyNumberFormat="1" applyFont="1" applyFill="1" applyBorder="1"/>
    <xf numFmtId="49" fontId="14" fillId="122" borderId="46" xfId="67" applyNumberFormat="1" applyFont="1" applyFill="1" applyBorder="1" applyAlignment="1">
      <alignment horizontal="center"/>
    </xf>
    <xf numFmtId="49" fontId="56" fillId="122" borderId="45" xfId="67" applyNumberFormat="1" applyFont="1" applyFill="1" applyBorder="1" applyAlignment="1">
      <alignment horizontal="center"/>
    </xf>
    <xf numFmtId="179" fontId="14" fillId="122" borderId="45" xfId="67" applyNumberFormat="1" applyFont="1" applyFill="1" applyBorder="1" applyAlignment="1">
      <alignment horizontal="center"/>
    </xf>
    <xf numFmtId="179" fontId="14" fillId="122" borderId="46" xfId="67" applyNumberFormat="1" applyFont="1" applyFill="1" applyBorder="1" applyAlignment="1">
      <alignment horizontal="center"/>
    </xf>
    <xf numFmtId="49" fontId="14" fillId="122" borderId="46" xfId="67" applyNumberFormat="1" applyFont="1" applyFill="1" applyBorder="1" applyAlignment="1">
      <alignment horizontal="center" wrapText="1"/>
    </xf>
    <xf numFmtId="179" fontId="56" fillId="122" borderId="42" xfId="67" applyNumberFormat="1" applyFont="1" applyFill="1" applyBorder="1" applyAlignment="1">
      <alignment horizontal="center"/>
    </xf>
    <xf numFmtId="4" fontId="56" fillId="122" borderId="42" xfId="67" applyNumberFormat="1" applyFont="1" applyFill="1" applyBorder="1"/>
    <xf numFmtId="49" fontId="14" fillId="122" borderId="47" xfId="67" applyNumberFormat="1" applyFont="1" applyFill="1" applyBorder="1" applyAlignment="1">
      <alignment horizontal="center"/>
    </xf>
    <xf numFmtId="49" fontId="56" fillId="122" borderId="42" xfId="67" applyNumberFormat="1" applyFont="1" applyFill="1" applyBorder="1" applyAlignment="1">
      <alignment horizontal="center"/>
    </xf>
    <xf numFmtId="179" fontId="14" fillId="122" borderId="42" xfId="67" applyNumberFormat="1" applyFont="1" applyFill="1" applyBorder="1" applyAlignment="1">
      <alignment horizontal="center"/>
    </xf>
    <xf numFmtId="179" fontId="14" fillId="122" borderId="47" xfId="67" applyNumberFormat="1" applyFont="1" applyFill="1" applyBorder="1" applyAlignment="1">
      <alignment horizontal="center"/>
    </xf>
    <xf numFmtId="4" fontId="58" fillId="123" borderId="0" xfId="67" applyNumberFormat="1" applyFont="1" applyFill="1"/>
    <xf numFmtId="179" fontId="56" fillId="122" borderId="39" xfId="67" applyNumberFormat="1" applyFont="1" applyFill="1" applyBorder="1" applyAlignment="1">
      <alignment horizontal="center"/>
    </xf>
    <xf numFmtId="4" fontId="56" fillId="122" borderId="39" xfId="67" applyNumberFormat="1" applyFont="1" applyFill="1" applyBorder="1"/>
    <xf numFmtId="49" fontId="14" fillId="122"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2" borderId="48" xfId="67" applyNumberFormat="1" applyFont="1" applyFill="1" applyBorder="1"/>
    <xf numFmtId="179" fontId="56" fillId="122" borderId="49" xfId="67" applyNumberFormat="1" applyFont="1" applyFill="1" applyBorder="1" applyAlignment="1">
      <alignment horizontal="left"/>
    </xf>
    <xf numFmtId="49" fontId="56" fillId="122" borderId="50" xfId="67" applyNumberFormat="1" applyFont="1" applyFill="1" applyBorder="1" applyAlignment="1">
      <alignment horizontal="right"/>
    </xf>
    <xf numFmtId="49" fontId="137" fillId="122" borderId="12" xfId="67" applyNumberFormat="1" applyFont="1" applyFill="1" applyBorder="1" applyProtection="1">
      <protection locked="0"/>
    </xf>
    <xf numFmtId="49" fontId="56" fillId="122" borderId="12" xfId="67" applyNumberFormat="1" applyFont="1" applyFill="1" applyBorder="1" applyProtection="1">
      <protection locked="0"/>
    </xf>
    <xf numFmtId="179" fontId="56" fillId="122" borderId="12" xfId="67" applyNumberFormat="1" applyFont="1" applyFill="1" applyBorder="1" applyProtection="1">
      <protection locked="0"/>
    </xf>
    <xf numFmtId="179" fontId="137" fillId="122" borderId="49" xfId="67" applyNumberFormat="1" applyFont="1" applyFill="1" applyBorder="1" applyProtection="1">
      <protection locked="0"/>
    </xf>
    <xf numFmtId="179" fontId="138" fillId="122" borderId="50" xfId="67" applyNumberFormat="1" applyFont="1" applyFill="1" applyBorder="1" applyProtection="1">
      <protection locked="0"/>
    </xf>
    <xf numFmtId="49" fontId="137" fillId="122" borderId="40" xfId="67" applyNumberFormat="1" applyFont="1" applyFill="1" applyBorder="1" applyProtection="1">
      <protection locked="0"/>
    </xf>
    <xf numFmtId="179" fontId="137" fillId="122" borderId="40" xfId="67" applyNumberFormat="1" applyFont="1" applyFill="1" applyBorder="1" applyProtection="1">
      <protection locked="0"/>
    </xf>
    <xf numFmtId="49" fontId="137" fillId="122" borderId="41" xfId="67" applyNumberFormat="1" applyFont="1" applyFill="1" applyBorder="1" applyProtection="1">
      <protection locked="0"/>
    </xf>
    <xf numFmtId="0" fontId="14" fillId="0" borderId="0" xfId="67" applyFont="1"/>
    <xf numFmtId="179" fontId="56" fillId="122" borderId="52" xfId="67" applyNumberFormat="1" applyFont="1" applyFill="1" applyBorder="1"/>
    <xf numFmtId="179" fontId="56" fillId="122" borderId="53" xfId="67" applyNumberFormat="1" applyFont="1" applyFill="1" applyBorder="1" applyAlignment="1">
      <alignment horizontal="left"/>
    </xf>
    <xf numFmtId="15" fontId="56" fillId="122" borderId="54" xfId="67" applyNumberFormat="1" applyFont="1" applyFill="1" applyBorder="1"/>
    <xf numFmtId="49" fontId="14" fillId="122" borderId="0" xfId="67" applyNumberFormat="1" applyFont="1" applyFill="1" applyAlignment="1" applyProtection="1">
      <alignment horizontal="right" vertical="center"/>
      <protection locked="0"/>
    </xf>
    <xf numFmtId="49" fontId="13" fillId="122" borderId="0" xfId="67" applyNumberFormat="1" applyFont="1" applyFill="1" applyAlignment="1" applyProtection="1">
      <alignment horizontal="center" vertical="center"/>
      <protection locked="0"/>
    </xf>
    <xf numFmtId="179" fontId="56" fillId="122" borderId="0" xfId="67" applyNumberFormat="1" applyFont="1" applyFill="1" applyProtection="1">
      <protection locked="0"/>
    </xf>
    <xf numFmtId="179" fontId="137" fillId="122" borderId="53" xfId="67" applyNumberFormat="1" applyFont="1" applyFill="1" applyBorder="1" applyProtection="1">
      <protection locked="0"/>
    </xf>
    <xf numFmtId="179" fontId="137" fillId="122" borderId="54" xfId="67" applyNumberFormat="1" applyFont="1" applyFill="1" applyBorder="1" applyProtection="1">
      <protection locked="0"/>
    </xf>
    <xf numFmtId="49" fontId="137" fillId="122" borderId="0" xfId="67" applyNumberFormat="1" applyFont="1" applyFill="1" applyProtection="1">
      <protection locked="0"/>
    </xf>
    <xf numFmtId="179" fontId="139" fillId="122" borderId="0" xfId="67" applyNumberFormat="1" applyFont="1" applyFill="1" applyProtection="1">
      <protection locked="0"/>
    </xf>
    <xf numFmtId="179" fontId="140" fillId="122" borderId="0" xfId="67" applyNumberFormat="1" applyFont="1" applyFill="1" applyProtection="1">
      <protection locked="0"/>
    </xf>
    <xf numFmtId="49" fontId="139" fillId="124" borderId="55" xfId="67" applyNumberFormat="1" applyFont="1" applyFill="1" applyBorder="1" applyProtection="1">
      <protection locked="0"/>
    </xf>
    <xf numFmtId="49" fontId="137" fillId="122" borderId="56" xfId="67" applyNumberFormat="1" applyFont="1" applyFill="1" applyBorder="1" applyProtection="1">
      <protection locked="0"/>
    </xf>
    <xf numFmtId="179" fontId="56" fillId="122" borderId="0" xfId="67" applyNumberFormat="1" applyFont="1" applyFill="1" applyAlignment="1">
      <alignment horizontal="left"/>
    </xf>
    <xf numFmtId="49" fontId="54" fillId="124" borderId="55" xfId="67" applyNumberFormat="1" applyFont="1" applyFill="1" applyBorder="1" applyAlignment="1">
      <alignment horizontal="right"/>
    </xf>
    <xf numFmtId="49" fontId="56" fillId="122" borderId="0" xfId="67" applyNumberFormat="1" applyFont="1" applyFill="1" applyProtection="1">
      <protection locked="0"/>
    </xf>
    <xf numFmtId="49" fontId="140" fillId="122" borderId="56" xfId="67" applyNumberFormat="1" applyFont="1" applyFill="1" applyBorder="1" applyProtection="1">
      <protection locked="0"/>
    </xf>
    <xf numFmtId="15" fontId="56" fillId="124" borderId="55" xfId="67" applyNumberFormat="1" applyFont="1" applyFill="1" applyBorder="1"/>
    <xf numFmtId="179" fontId="56" fillId="122" borderId="57" xfId="67" applyNumberFormat="1" applyFont="1" applyFill="1" applyBorder="1"/>
    <xf numFmtId="179" fontId="56" fillId="122" borderId="58" xfId="67" applyNumberFormat="1" applyFont="1" applyFill="1" applyBorder="1" applyAlignment="1">
      <alignment horizontal="left"/>
    </xf>
    <xf numFmtId="49" fontId="54" fillId="124" borderId="55" xfId="2329" applyNumberFormat="1" applyFont="1" applyFill="1" applyBorder="1"/>
    <xf numFmtId="49" fontId="137" fillId="122" borderId="58" xfId="67" applyNumberFormat="1" applyFont="1" applyFill="1" applyBorder="1" applyProtection="1">
      <protection locked="0"/>
    </xf>
    <xf numFmtId="49" fontId="56" fillId="122" borderId="58" xfId="67" applyNumberFormat="1" applyFont="1" applyFill="1" applyBorder="1" applyProtection="1">
      <protection locked="0"/>
    </xf>
    <xf numFmtId="179" fontId="56" fillId="122" borderId="58" xfId="67" applyNumberFormat="1" applyFont="1" applyFill="1" applyBorder="1" applyProtection="1">
      <protection locked="0"/>
    </xf>
    <xf numFmtId="179" fontId="137" fillId="122" borderId="59" xfId="67" applyNumberFormat="1" applyFont="1" applyFill="1" applyBorder="1" applyProtection="1">
      <protection locked="0"/>
    </xf>
    <xf numFmtId="15" fontId="56" fillId="122" borderId="60" xfId="67" applyNumberFormat="1" applyFont="1" applyFill="1" applyBorder="1" applyAlignment="1">
      <alignment horizontal="left"/>
    </xf>
    <xf numFmtId="49" fontId="137" fillId="122" borderId="43" xfId="67" applyNumberFormat="1" applyFont="1" applyFill="1" applyBorder="1" applyProtection="1">
      <protection locked="0"/>
    </xf>
    <xf numFmtId="179" fontId="137" fillId="122" borderId="43" xfId="67" applyNumberFormat="1" applyFont="1" applyFill="1" applyBorder="1" applyProtection="1">
      <protection locked="0"/>
    </xf>
    <xf numFmtId="49" fontId="137" fillId="122" borderId="61" xfId="67" applyNumberFormat="1" applyFont="1" applyFill="1" applyBorder="1" applyProtection="1">
      <protection locked="0"/>
    </xf>
    <xf numFmtId="49" fontId="137" fillId="122"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5" borderId="0" xfId="67" applyFont="1" applyFill="1"/>
    <xf numFmtId="0" fontId="5" fillId="125" borderId="0" xfId="67" applyFill="1"/>
    <xf numFmtId="0" fontId="146" fillId="0" borderId="0" xfId="67" applyFont="1"/>
    <xf numFmtId="0" fontId="20" fillId="126" borderId="0" xfId="0" applyFont="1" applyFill="1"/>
    <xf numFmtId="0" fontId="142" fillId="126" borderId="0" xfId="67" applyFont="1" applyFill="1"/>
    <xf numFmtId="0" fontId="142" fillId="126" borderId="0" xfId="0" applyFont="1" applyFill="1"/>
    <xf numFmtId="0" fontId="0" fillId="126" borderId="0" xfId="0" applyFill="1"/>
    <xf numFmtId="179" fontId="145" fillId="126" borderId="0" xfId="67" applyNumberFormat="1" applyFont="1" applyFill="1" applyProtection="1">
      <protection locked="0"/>
    </xf>
    <xf numFmtId="0" fontId="142" fillId="126"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7" borderId="0" xfId="2" applyFont="1" applyFill="1" applyAlignment="1"/>
    <xf numFmtId="43" fontId="10" fillId="127" borderId="0" xfId="2" applyFont="1" applyFill="1"/>
    <xf numFmtId="43" fontId="24" fillId="127" borderId="0" xfId="2" applyFont="1" applyFill="1"/>
    <xf numFmtId="171" fontId="120" fillId="127" borderId="0" xfId="2" applyNumberFormat="1" applyFont="1" applyFill="1" applyAlignment="1">
      <alignment horizontal="left" vertical="center"/>
    </xf>
    <xf numFmtId="43" fontId="11" fillId="127" borderId="0" xfId="2" applyFont="1" applyFill="1" applyAlignment="1">
      <alignment horizontal="center" vertical="center" wrapText="1"/>
    </xf>
    <xf numFmtId="49" fontId="8" fillId="127" borderId="0" xfId="13" applyNumberFormat="1" applyFill="1" applyAlignment="1" applyProtection="1"/>
    <xf numFmtId="43" fontId="17" fillId="127" borderId="0" xfId="2" applyFont="1" applyFill="1"/>
    <xf numFmtId="43" fontId="8" fillId="127" borderId="0" xfId="13" applyNumberFormat="1" applyFill="1" applyAlignment="1" applyProtection="1"/>
    <xf numFmtId="43" fontId="11" fillId="127" borderId="0" xfId="2" applyFont="1" applyFill="1" applyAlignment="1"/>
    <xf numFmtId="165" fontId="11" fillId="127" borderId="1" xfId="2" applyNumberFormat="1" applyFont="1" applyFill="1" applyBorder="1" applyAlignment="1"/>
    <xf numFmtId="43" fontId="10" fillId="127" borderId="0" xfId="2" applyFont="1" applyFill="1" applyAlignment="1"/>
    <xf numFmtId="43" fontId="134" fillId="127" borderId="0" xfId="2" applyFont="1" applyFill="1" applyAlignment="1"/>
    <xf numFmtId="43" fontId="9" fillId="119" borderId="0" xfId="2" applyFont="1" applyFill="1" applyAlignment="1"/>
    <xf numFmtId="43" fontId="10" fillId="119" borderId="0" xfId="2" applyFont="1" applyFill="1"/>
    <xf numFmtId="43" fontId="46" fillId="119" borderId="0" xfId="2" applyFont="1" applyFill="1" applyAlignment="1">
      <alignment wrapText="1"/>
    </xf>
    <xf numFmtId="43" fontId="59" fillId="119" borderId="0" xfId="2" applyFont="1" applyFill="1" applyAlignment="1">
      <alignment horizontal="right" vertical="center"/>
    </xf>
    <xf numFmtId="43" fontId="11" fillId="119" borderId="0" xfId="2" applyFont="1" applyFill="1" applyAlignment="1"/>
    <xf numFmtId="43" fontId="46" fillId="119" borderId="0" xfId="2" applyFont="1" applyFill="1" applyAlignment="1">
      <alignment vertical="top" wrapText="1"/>
    </xf>
    <xf numFmtId="43" fontId="11" fillId="119" borderId="0" xfId="2" applyFont="1" applyFill="1" applyAlignment="1">
      <alignment horizontal="center" vertical="center" wrapText="1"/>
    </xf>
    <xf numFmtId="43" fontId="24" fillId="127" borderId="0" xfId="2" applyFont="1" applyFill="1" applyAlignment="1">
      <alignment horizontal="center" vertical="center" wrapText="1"/>
    </xf>
    <xf numFmtId="4" fontId="148" fillId="18" borderId="0" xfId="0" applyNumberFormat="1" applyFont="1" applyFill="1"/>
    <xf numFmtId="4" fontId="148" fillId="3" borderId="0" xfId="0" applyNumberFormat="1" applyFont="1" applyFill="1"/>
    <xf numFmtId="4" fontId="148" fillId="3" borderId="0" xfId="0" applyNumberFormat="1" applyFont="1" applyFill="1" applyAlignment="1">
      <alignment horizontal="left"/>
    </xf>
    <xf numFmtId="14" fontId="148" fillId="3" borderId="0" xfId="0" applyNumberFormat="1" applyFont="1" applyFill="1" applyAlignment="1">
      <alignment horizontal="left"/>
    </xf>
    <xf numFmtId="4" fontId="148" fillId="3" borderId="0" xfId="0" applyNumberFormat="1" applyFont="1" applyFill="1" applyAlignment="1">
      <alignment wrapText="1"/>
    </xf>
    <xf numFmtId="4" fontId="149" fillId="3" borderId="0" xfId="0" applyNumberFormat="1" applyFont="1" applyFill="1"/>
    <xf numFmtId="4" fontId="149" fillId="18" borderId="0" xfId="0" applyNumberFormat="1" applyFont="1" applyFill="1"/>
    <xf numFmtId="4" fontId="149" fillId="3" borderId="0" xfId="0" applyNumberFormat="1" applyFont="1" applyFill="1" applyAlignment="1">
      <alignment horizontal="left"/>
    </xf>
    <xf numFmtId="14" fontId="149" fillId="3" borderId="0" xfId="0" applyNumberFormat="1" applyFont="1" applyFill="1" applyAlignment="1">
      <alignment horizontal="left"/>
    </xf>
    <xf numFmtId="4" fontId="149" fillId="3" borderId="0" xfId="0" applyNumberFormat="1" applyFont="1" applyFill="1" applyAlignment="1">
      <alignment wrapText="1"/>
    </xf>
    <xf numFmtId="15" fontId="149" fillId="3" borderId="0" xfId="0" applyNumberFormat="1" applyFont="1" applyFill="1"/>
    <xf numFmtId="4" fontId="149" fillId="3" borderId="0" xfId="0" applyNumberFormat="1" applyFont="1" applyFill="1" applyAlignment="1">
      <alignment horizontal="left" wrapText="1"/>
    </xf>
    <xf numFmtId="4" fontId="148" fillId="3" borderId="0" xfId="59" applyNumberFormat="1" applyFont="1" applyFill="1" applyAlignment="1">
      <alignment horizontal="right" wrapText="1"/>
    </xf>
    <xf numFmtId="4" fontId="148" fillId="3" borderId="0" xfId="59" applyNumberFormat="1" applyFont="1" applyFill="1" applyAlignment="1">
      <alignment wrapText="1"/>
    </xf>
    <xf numFmtId="4" fontId="148" fillId="3" borderId="0" xfId="59" applyNumberFormat="1" applyFont="1" applyFill="1" applyAlignment="1">
      <alignment horizontal="left" wrapText="1"/>
    </xf>
    <xf numFmtId="14" fontId="148" fillId="3" borderId="0" xfId="59" applyNumberFormat="1" applyFont="1" applyFill="1" applyAlignment="1">
      <alignment horizontal="left" wrapText="1"/>
    </xf>
    <xf numFmtId="1" fontId="149" fillId="3" borderId="0" xfId="0" applyNumberFormat="1" applyFont="1" applyFill="1" applyAlignment="1">
      <alignment horizontal="left"/>
    </xf>
    <xf numFmtId="4" fontId="149" fillId="3" borderId="0" xfId="0" applyNumberFormat="1" applyFont="1" applyFill="1" applyAlignment="1">
      <alignment horizontal="right"/>
    </xf>
    <xf numFmtId="0" fontId="149" fillId="3" borderId="0" xfId="0" applyFont="1" applyFill="1"/>
    <xf numFmtId="14" fontId="149" fillId="3" borderId="0" xfId="0" applyNumberFormat="1" applyFont="1" applyFill="1" applyAlignment="1">
      <alignment horizontal="left" wrapText="1"/>
    </xf>
    <xf numFmtId="4" fontId="149" fillId="3" borderId="0" xfId="0" applyNumberFormat="1" applyFont="1" applyFill="1" applyAlignment="1">
      <alignment vertical="top"/>
    </xf>
    <xf numFmtId="4" fontId="149" fillId="3" borderId="0" xfId="0" applyNumberFormat="1" applyFont="1" applyFill="1" applyAlignment="1">
      <alignment vertical="center"/>
    </xf>
    <xf numFmtId="1" fontId="149" fillId="3" borderId="0" xfId="0" applyNumberFormat="1" applyFont="1" applyFill="1" applyAlignment="1">
      <alignment horizontal="left" wrapText="1"/>
    </xf>
    <xf numFmtId="14" fontId="149" fillId="3" borderId="0" xfId="0" applyNumberFormat="1" applyFont="1" applyFill="1"/>
    <xf numFmtId="4" fontId="148" fillId="3" borderId="1" xfId="59" applyNumberFormat="1" applyFont="1" applyFill="1" applyBorder="1" applyAlignment="1">
      <alignment horizontal="right" wrapText="1"/>
    </xf>
    <xf numFmtId="4" fontId="149" fillId="0" borderId="0" xfId="0" applyNumberFormat="1" applyFont="1"/>
    <xf numFmtId="4" fontId="148" fillId="8" borderId="0" xfId="0" applyNumberFormat="1" applyFont="1" applyFill="1"/>
    <xf numFmtId="3" fontId="149" fillId="3" borderId="0" xfId="0" applyNumberFormat="1" applyFont="1" applyFill="1"/>
    <xf numFmtId="4" fontId="149" fillId="8" borderId="0" xfId="0" applyNumberFormat="1" applyFont="1" applyFill="1"/>
    <xf numFmtId="3" fontId="148" fillId="3" borderId="0" xfId="0" applyNumberFormat="1" applyFont="1" applyFill="1"/>
    <xf numFmtId="3" fontId="148" fillId="3" borderId="0" xfId="0" applyNumberFormat="1" applyFont="1" applyFill="1" applyAlignment="1">
      <alignment wrapText="1"/>
    </xf>
    <xf numFmtId="4" fontId="148" fillId="3" borderId="0" xfId="0" applyNumberFormat="1" applyFont="1" applyFill="1" applyAlignment="1">
      <alignment horizontal="right"/>
    </xf>
    <xf numFmtId="4" fontId="149" fillId="3" borderId="0" xfId="0" quotePrefix="1" applyNumberFormat="1" applyFont="1" applyFill="1"/>
    <xf numFmtId="4" fontId="145" fillId="11" borderId="0" xfId="65" applyNumberFormat="1" applyFont="1" applyAlignment="1">
      <alignment wrapText="1"/>
    </xf>
    <xf numFmtId="4" fontId="149" fillId="3" borderId="0" xfId="0" quotePrefix="1" applyNumberFormat="1" applyFont="1" applyFill="1" applyAlignment="1">
      <alignment wrapText="1"/>
    </xf>
    <xf numFmtId="4" fontId="148" fillId="14" borderId="0" xfId="0" applyNumberFormat="1" applyFont="1" applyFill="1"/>
    <xf numFmtId="0" fontId="149" fillId="14" borderId="0" xfId="0" applyFont="1" applyFill="1"/>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4" fontId="148" fillId="3" borderId="0" xfId="58" applyNumberFormat="1" applyFont="1" applyFill="1" applyAlignment="1">
      <alignment horizontal="left" wrapText="1"/>
    </xf>
    <xf numFmtId="2" fontId="149" fillId="3" borderId="0" xfId="0" applyNumberFormat="1" applyFont="1" applyFill="1"/>
    <xf numFmtId="4" fontId="149" fillId="3" borderId="0" xfId="58" applyNumberFormat="1" applyFont="1" applyFill="1" applyAlignment="1">
      <alignment horizontal="left" wrapText="1"/>
    </xf>
    <xf numFmtId="4" fontId="149" fillId="3" borderId="0" xfId="58" applyNumberFormat="1" applyFont="1" applyFill="1" applyAlignment="1">
      <alignment horizontal="left"/>
    </xf>
    <xf numFmtId="4" fontId="148" fillId="3" borderId="1" xfId="58" applyNumberFormat="1" applyFont="1" applyFill="1" applyBorder="1" applyAlignment="1">
      <alignment horizontal="right" wrapText="1"/>
    </xf>
    <xf numFmtId="0" fontId="149" fillId="3" borderId="0" xfId="0" applyFont="1" applyFill="1" applyAlignment="1">
      <alignment horizontal="left"/>
    </xf>
    <xf numFmtId="4" fontId="148" fillId="20" borderId="0" xfId="0" applyNumberFormat="1" applyFont="1" applyFill="1"/>
    <xf numFmtId="0" fontId="149" fillId="20" borderId="0" xfId="0" applyFont="1" applyFill="1"/>
    <xf numFmtId="4" fontId="148" fillId="117" borderId="0" xfId="0" applyNumberFormat="1" applyFont="1" applyFill="1"/>
    <xf numFmtId="0" fontId="149" fillId="117" borderId="0" xfId="0" applyFont="1" applyFill="1"/>
    <xf numFmtId="4" fontId="148" fillId="119" borderId="0" xfId="0" applyNumberFormat="1" applyFont="1" applyFill="1"/>
    <xf numFmtId="0" fontId="149" fillId="119" borderId="0" xfId="0" applyFont="1" applyFill="1"/>
    <xf numFmtId="4" fontId="150" fillId="3" borderId="0" xfId="0" applyNumberFormat="1" applyFont="1" applyFill="1" applyAlignment="1">
      <alignment wrapText="1"/>
    </xf>
    <xf numFmtId="4" fontId="151" fillId="7" borderId="0" xfId="0" applyNumberFormat="1" applyFont="1" applyFill="1" applyAlignment="1">
      <alignment horizontal="right"/>
    </xf>
    <xf numFmtId="4" fontId="151" fillId="7" borderId="0" xfId="0" applyNumberFormat="1" applyFont="1" applyFill="1" applyAlignment="1">
      <alignment wrapText="1"/>
    </xf>
    <xf numFmtId="4" fontId="150" fillId="3" borderId="0" xfId="0" applyNumberFormat="1" applyFont="1" applyFill="1" applyAlignment="1">
      <alignment horizontal="left" wrapText="1"/>
    </xf>
    <xf numFmtId="4" fontId="148" fillId="115" borderId="0" xfId="0" applyNumberFormat="1" applyFont="1" applyFill="1"/>
    <xf numFmtId="0" fontId="149" fillId="115" borderId="0" xfId="0" applyFont="1" applyFill="1"/>
    <xf numFmtId="0" fontId="152" fillId="0" borderId="0" xfId="0" applyFont="1"/>
    <xf numFmtId="4" fontId="148" fillId="0" borderId="0" xfId="0" applyNumberFormat="1" applyFont="1"/>
    <xf numFmtId="4" fontId="149" fillId="0" borderId="0" xfId="58" applyNumberFormat="1" applyFont="1" applyAlignment="1">
      <alignment horizontal="left" wrapText="1"/>
    </xf>
    <xf numFmtId="14" fontId="149" fillId="0" borderId="0" xfId="0" applyNumberFormat="1" applyFont="1" applyAlignment="1">
      <alignment horizontal="left"/>
    </xf>
    <xf numFmtId="4" fontId="149" fillId="0" borderId="0" xfId="0" applyNumberFormat="1" applyFont="1" applyAlignment="1">
      <alignment horizontal="left" wrapText="1"/>
    </xf>
    <xf numFmtId="4" fontId="151" fillId="0" borderId="0" xfId="0" applyNumberFormat="1" applyFont="1" applyAlignment="1">
      <alignment wrapText="1"/>
    </xf>
    <xf numFmtId="0" fontId="149" fillId="0" borderId="0" xfId="0" applyFont="1"/>
    <xf numFmtId="4" fontId="149" fillId="0" borderId="0" xfId="0" applyNumberFormat="1" applyFont="1" applyAlignment="1">
      <alignment horizontal="left"/>
    </xf>
    <xf numFmtId="4" fontId="149" fillId="0" borderId="0" xfId="0" applyNumberFormat="1" applyFont="1" applyAlignment="1">
      <alignment wrapText="1"/>
    </xf>
    <xf numFmtId="4" fontId="149" fillId="3" borderId="0" xfId="0" applyNumberFormat="1" applyFont="1" applyFill="1" applyAlignment="1">
      <alignment horizontal="left" wrapText="1"/>
    </xf>
    <xf numFmtId="49" fontId="139" fillId="122" borderId="51" xfId="67" applyNumberFormat="1" applyFont="1" applyFill="1" applyBorder="1" applyAlignment="1" applyProtection="1">
      <alignment horizontal="center" vertical="center"/>
      <protection locked="0"/>
    </xf>
    <xf numFmtId="49" fontId="139" fillId="122" borderId="46" xfId="67" applyNumberFormat="1" applyFont="1" applyFill="1" applyBorder="1" applyAlignment="1" applyProtection="1">
      <alignment horizontal="center" vertical="center"/>
      <protection locked="0"/>
    </xf>
    <xf numFmtId="13" fontId="9" fillId="119" borderId="0" xfId="2" quotePrefix="1" applyNumberFormat="1" applyFont="1" applyFill="1" applyAlignment="1">
      <alignment horizontal="center" vertical="center"/>
    </xf>
    <xf numFmtId="43" fontId="9" fillId="119"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0" fontId="149" fillId="111" borderId="63" xfId="2336" applyFont="1" applyFill="1" applyBorder="1" applyAlignment="1" applyProtection="1">
      <alignment vertical="center" wrapText="1"/>
      <protection locked="0"/>
    </xf>
    <xf numFmtId="0" fontId="148" fillId="111" borderId="64" xfId="2336" applyFont="1" applyFill="1" applyBorder="1" applyAlignment="1" applyProtection="1">
      <alignment vertical="center" wrapText="1"/>
      <protection locked="0"/>
    </xf>
    <xf numFmtId="0" fontId="148" fillId="111" borderId="65" xfId="2336" applyFont="1" applyFill="1" applyBorder="1" applyAlignment="1" applyProtection="1">
      <alignment vertical="center" wrapText="1"/>
      <protection locked="0"/>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7">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rmal_Sheet1 3" xfId="2336" xr:uid="{6237D84E-E74D-4088-A593-72373BFAE129}"/>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463</v>
      </c>
      <c r="B1" s="104"/>
      <c r="C1" s="104"/>
      <c r="D1" s="104"/>
      <c r="E1" s="104"/>
      <c r="G1" s="2"/>
      <c r="J1" s="10"/>
      <c r="M1" s="4" t="s">
        <v>300</v>
      </c>
    </row>
    <row r="2" spans="1:44" s="2" customFormat="1" ht="13.5" hidden="1" customHeight="1">
      <c r="A2" s="296" t="s">
        <v>464</v>
      </c>
      <c r="B2" s="104"/>
      <c r="C2" s="104"/>
      <c r="D2" s="296"/>
      <c r="E2" s="296"/>
      <c r="J2" s="3"/>
      <c r="M2" s="2" t="s">
        <v>302</v>
      </c>
      <c r="N2" s="2" t="s">
        <v>303</v>
      </c>
    </row>
    <row r="3" spans="1:44" s="2" customFormat="1" ht="13.5" hidden="1" customHeight="1">
      <c r="A3" s="104" t="s">
        <v>339</v>
      </c>
      <c r="B3" s="104"/>
      <c r="C3" s="104"/>
      <c r="D3" s="104"/>
      <c r="E3" s="104"/>
      <c r="J3" s="3"/>
      <c r="M3" s="2" t="s">
        <v>305</v>
      </c>
      <c r="N3" s="2" t="s">
        <v>306</v>
      </c>
    </row>
    <row r="4" spans="1:44" s="2" customFormat="1" ht="13.5" hidden="1" customHeight="1">
      <c r="J4" s="3"/>
    </row>
    <row r="5" spans="1:44" s="4" customFormat="1" ht="13.5" hidden="1" customHeight="1">
      <c r="A5" s="4" t="s">
        <v>372</v>
      </c>
      <c r="C5" s="6">
        <v>43190</v>
      </c>
      <c r="D5" s="2"/>
      <c r="E5" s="2"/>
      <c r="F5" s="2"/>
      <c r="G5" s="2"/>
      <c r="H5" s="2"/>
      <c r="I5" s="2"/>
      <c r="J5" s="3"/>
      <c r="K5" s="2"/>
    </row>
    <row r="6" spans="1:44" s="4" customFormat="1" ht="36.950000000000003" hidden="1" customHeight="1">
      <c r="A6" s="568" t="s">
        <v>308</v>
      </c>
      <c r="B6" s="568"/>
      <c r="C6" s="568"/>
      <c r="D6" s="568"/>
      <c r="E6" s="568"/>
      <c r="F6" s="568"/>
      <c r="G6" s="568"/>
      <c r="H6" s="568"/>
      <c r="I6" s="568"/>
      <c r="J6" s="568"/>
      <c r="K6" s="568"/>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309</v>
      </c>
      <c r="H8" s="51"/>
      <c r="I8" s="51" t="s">
        <v>310</v>
      </c>
      <c r="J8" s="52" t="s">
        <v>53</v>
      </c>
      <c r="K8" s="51" t="s">
        <v>311</v>
      </c>
    </row>
    <row r="9" spans="1:44" ht="30" hidden="1" customHeight="1">
      <c r="A9" s="44"/>
      <c r="B9" s="44"/>
      <c r="C9" s="44"/>
      <c r="D9" s="44"/>
      <c r="E9" s="44">
        <v>131.25</v>
      </c>
      <c r="F9" s="44"/>
      <c r="G9" s="108">
        <f>SUM(A9:E9)</f>
        <v>131.25</v>
      </c>
      <c r="H9" s="4"/>
      <c r="I9" s="4" t="s">
        <v>465</v>
      </c>
      <c r="J9" s="10">
        <v>43002</v>
      </c>
      <c r="K9" s="4" t="s">
        <v>466</v>
      </c>
      <c r="O9" s="250" t="s">
        <v>449</v>
      </c>
    </row>
    <row r="10" spans="1:44" ht="30" hidden="1" customHeight="1">
      <c r="A10" s="4"/>
      <c r="B10" s="4"/>
      <c r="C10" s="4"/>
      <c r="D10" s="303"/>
      <c r="E10" s="1">
        <f>167.5*0.75</f>
        <v>125.625</v>
      </c>
      <c r="F10" s="1"/>
      <c r="G10" s="2">
        <f>SUM(A10:E10)</f>
        <v>125.625</v>
      </c>
      <c r="H10" s="4"/>
      <c r="I10" s="4" t="s">
        <v>467</v>
      </c>
      <c r="J10" s="10">
        <v>43001</v>
      </c>
      <c r="K10" s="4" t="s">
        <v>466</v>
      </c>
      <c r="M10" s="4">
        <v>1231</v>
      </c>
      <c r="N10" s="2">
        <f>E10-M10</f>
        <v>-1105.375</v>
      </c>
      <c r="O10" s="250" t="s">
        <v>449</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463</v>
      </c>
      <c r="B16" s="291"/>
      <c r="C16" s="291"/>
      <c r="D16" s="291"/>
      <c r="E16" s="291"/>
      <c r="G16" s="2"/>
      <c r="J16" s="10"/>
      <c r="M16" s="4" t="s">
        <v>300</v>
      </c>
    </row>
    <row r="17" spans="1:256" s="2" customFormat="1" ht="13.5" hidden="1" customHeight="1">
      <c r="A17" s="292" t="s">
        <v>464</v>
      </c>
      <c r="B17" s="291"/>
      <c r="C17" s="291"/>
      <c r="D17" s="292"/>
      <c r="E17" s="292"/>
      <c r="J17" s="3"/>
      <c r="M17" s="2" t="s">
        <v>302</v>
      </c>
      <c r="N17" s="2" t="s">
        <v>303</v>
      </c>
    </row>
    <row r="18" spans="1:256" s="2" customFormat="1" ht="13.5" hidden="1" customHeight="1">
      <c r="A18" s="291" t="s">
        <v>371</v>
      </c>
      <c r="B18" s="291"/>
      <c r="C18" s="291"/>
      <c r="D18" s="291"/>
      <c r="E18" s="291"/>
      <c r="J18" s="3"/>
      <c r="M18" s="2" t="s">
        <v>305</v>
      </c>
      <c r="N18" s="2" t="s">
        <v>306</v>
      </c>
    </row>
    <row r="19" spans="1:256" s="2" customFormat="1" ht="13.5" hidden="1" customHeight="1">
      <c r="J19" s="3"/>
    </row>
    <row r="20" spans="1:256" s="4" customFormat="1" ht="13.5" hidden="1" customHeight="1">
      <c r="A20" s="4" t="s">
        <v>372</v>
      </c>
      <c r="C20" s="6">
        <f>'SUMMARY 2018.19'!B2</f>
        <v>43555</v>
      </c>
      <c r="D20" s="2"/>
      <c r="E20" s="2"/>
      <c r="F20" s="2"/>
      <c r="G20" s="2"/>
      <c r="H20" s="2"/>
      <c r="I20" s="2"/>
      <c r="J20" s="3"/>
      <c r="K20" s="2"/>
    </row>
    <row r="21" spans="1:256" s="4" customFormat="1" ht="36.950000000000003" hidden="1" customHeight="1">
      <c r="A21" s="568" t="s">
        <v>308</v>
      </c>
      <c r="B21" s="568"/>
      <c r="C21" s="568"/>
      <c r="D21" s="568"/>
      <c r="E21" s="568"/>
      <c r="F21" s="568"/>
      <c r="G21" s="568"/>
      <c r="H21" s="568"/>
      <c r="I21" s="568"/>
      <c r="J21" s="568"/>
      <c r="K21" s="568"/>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309</v>
      </c>
      <c r="H23" s="51"/>
      <c r="I23" s="51" t="s">
        <v>310</v>
      </c>
      <c r="J23" s="52" t="s">
        <v>53</v>
      </c>
      <c r="K23" s="51" t="s">
        <v>311</v>
      </c>
    </row>
    <row r="24" spans="1:256" ht="30" hidden="1" customHeight="1">
      <c r="A24" s="44"/>
      <c r="B24" s="44"/>
      <c r="C24" s="44"/>
      <c r="D24" s="44"/>
      <c r="E24" s="44">
        <f>62.5*2*0.75</f>
        <v>93.75</v>
      </c>
      <c r="F24" s="44"/>
      <c r="G24" s="108">
        <f>SUM(A24:E24)</f>
        <v>93.75</v>
      </c>
      <c r="H24" s="4"/>
      <c r="I24" s="61" t="s">
        <v>468</v>
      </c>
      <c r="J24" s="10">
        <v>43365</v>
      </c>
      <c r="K24" s="4" t="s">
        <v>469</v>
      </c>
      <c r="L24" s="16"/>
      <c r="M24" s="16"/>
      <c r="N24" s="16"/>
      <c r="O24" s="299" t="s">
        <v>449</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458</v>
      </c>
      <c r="J25" s="10">
        <v>43366</v>
      </c>
      <c r="K25" s="45" t="s">
        <v>459</v>
      </c>
      <c r="L25" s="16"/>
      <c r="O25" s="250" t="s">
        <v>449</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463</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464</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390</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372</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68" t="s">
        <v>308</v>
      </c>
      <c r="B36" s="568"/>
      <c r="C36" s="568"/>
      <c r="D36" s="568"/>
      <c r="E36" s="568"/>
      <c r="F36" s="568"/>
      <c r="G36" s="568"/>
      <c r="H36" s="568"/>
      <c r="I36" s="568"/>
      <c r="J36" s="568"/>
      <c r="K36" s="568"/>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309</v>
      </c>
      <c r="H38" s="58"/>
      <c r="I38" s="51" t="s">
        <v>310</v>
      </c>
      <c r="J38" s="51" t="s">
        <v>53</v>
      </c>
      <c r="K38" s="51" t="s">
        <v>311</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460</v>
      </c>
      <c r="J39" s="50">
        <v>43729</v>
      </c>
      <c r="K39" s="8" t="s">
        <v>470</v>
      </c>
      <c r="L39" s="250"/>
      <c r="M39" s="4" t="s">
        <v>471</v>
      </c>
      <c r="N39" s="8">
        <f>'Conf Party reduction'!B1</f>
        <v>0.9</v>
      </c>
      <c r="P39" s="134"/>
    </row>
    <row r="40" spans="1:256" s="4" customFormat="1" ht="13.15" hidden="1">
      <c r="E40" s="4">
        <f>110/1.2*N40</f>
        <v>68.75</v>
      </c>
      <c r="G40" s="2">
        <f t="shared" si="1"/>
        <v>68.75</v>
      </c>
      <c r="I40" s="240" t="s">
        <v>460</v>
      </c>
      <c r="J40" s="50">
        <v>43729</v>
      </c>
      <c r="K40" s="8" t="s">
        <v>461</v>
      </c>
      <c r="L40" s="250"/>
      <c r="M40" s="4" t="s">
        <v>462</v>
      </c>
      <c r="N40" s="8">
        <f>'Conf Party reduction'!B5</f>
        <v>0.75</v>
      </c>
      <c r="P40" s="134"/>
    </row>
    <row r="41" spans="1:256" s="4" customFormat="1" ht="13.15" hidden="1">
      <c r="D41" s="4">
        <v>104.94</v>
      </c>
      <c r="G41" s="2">
        <f t="shared" ref="G41:G43" si="2">SUM(A41:E41)</f>
        <v>104.94</v>
      </c>
      <c r="I41" s="237" t="s">
        <v>472</v>
      </c>
      <c r="J41" s="50">
        <v>43491</v>
      </c>
      <c r="K41" s="287" t="s">
        <v>473</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463</v>
      </c>
      <c r="B48" s="288"/>
      <c r="C48" s="288"/>
      <c r="D48" s="288"/>
      <c r="E48" s="41"/>
      <c r="F48" s="4"/>
      <c r="G48" s="2"/>
      <c r="H48" s="4"/>
      <c r="I48" s="237"/>
      <c r="J48" s="50"/>
      <c r="K48" s="4"/>
    </row>
    <row r="49" spans="1:11" ht="13.15">
      <c r="A49" s="289" t="s">
        <v>464</v>
      </c>
      <c r="B49" s="288"/>
      <c r="C49" s="288"/>
      <c r="D49" s="289"/>
      <c r="E49" s="41"/>
      <c r="F49" s="2"/>
      <c r="G49" s="2"/>
      <c r="H49" s="2"/>
      <c r="I49" s="236"/>
      <c r="J49" s="234"/>
      <c r="K49" s="2"/>
    </row>
    <row r="50" spans="1:11" ht="13.15">
      <c r="A50" s="288" t="s">
        <v>401</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372</v>
      </c>
      <c r="B52" s="4"/>
      <c r="C52" s="6">
        <f>'SUMMARY 2021-22'!$C$2</f>
        <v>44651</v>
      </c>
      <c r="D52" s="2"/>
      <c r="E52" s="2"/>
      <c r="F52" s="2"/>
      <c r="G52" s="2"/>
      <c r="H52" s="2"/>
      <c r="I52" s="236"/>
      <c r="J52" s="234"/>
      <c r="K52" s="2"/>
    </row>
    <row r="53" spans="1:11" ht="34.15" customHeight="1">
      <c r="A53" s="568" t="s">
        <v>308</v>
      </c>
      <c r="B53" s="568"/>
      <c r="C53" s="568"/>
      <c r="D53" s="568"/>
      <c r="E53" s="568"/>
      <c r="F53" s="568"/>
      <c r="G53" s="568"/>
      <c r="H53" s="568"/>
      <c r="I53" s="568"/>
      <c r="J53" s="568"/>
      <c r="K53" s="568"/>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309</v>
      </c>
      <c r="H55" s="58"/>
      <c r="I55" s="51" t="s">
        <v>310</v>
      </c>
      <c r="J55" s="51" t="s">
        <v>53</v>
      </c>
      <c r="K55" s="51" t="s">
        <v>311</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474</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339</v>
      </c>
      <c r="B3" s="104"/>
      <c r="C3" s="104"/>
      <c r="D3" s="104"/>
      <c r="E3" s="104"/>
      <c r="I3" s="243"/>
      <c r="J3" s="234"/>
      <c r="L3" s="162"/>
    </row>
    <row r="4" spans="1:27" s="2" customFormat="1" ht="13.5" hidden="1" customHeight="1">
      <c r="I4" s="243"/>
      <c r="J4" s="234"/>
      <c r="L4" s="162"/>
    </row>
    <row r="5" spans="1:27" s="4" customFormat="1" ht="13.5" hidden="1" customHeight="1">
      <c r="A5" s="4" t="s">
        <v>372</v>
      </c>
      <c r="C5" s="6">
        <v>43190</v>
      </c>
      <c r="D5" s="2"/>
      <c r="E5" s="2"/>
      <c r="F5" s="2"/>
      <c r="G5" s="2"/>
      <c r="H5" s="2"/>
      <c r="I5" s="243"/>
      <c r="J5" s="234"/>
      <c r="K5" s="2"/>
      <c r="L5" s="161"/>
    </row>
    <row r="6" spans="1:27" s="4" customFormat="1" ht="36.950000000000003" hidden="1" customHeight="1">
      <c r="A6" s="568" t="s">
        <v>308</v>
      </c>
      <c r="B6" s="568"/>
      <c r="C6" s="568"/>
      <c r="D6" s="568"/>
      <c r="E6" s="568"/>
      <c r="F6" s="568"/>
      <c r="G6" s="568"/>
      <c r="H6" s="568"/>
      <c r="I6" s="568"/>
      <c r="J6" s="568"/>
      <c r="K6" s="568"/>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309</v>
      </c>
      <c r="H8" s="51"/>
      <c r="I8" s="239" t="s">
        <v>310</v>
      </c>
      <c r="J8" s="52" t="s">
        <v>53</v>
      </c>
      <c r="K8" s="51" t="s">
        <v>311</v>
      </c>
      <c r="L8" s="161"/>
    </row>
    <row r="9" spans="1:27" ht="30" hidden="1" customHeight="1">
      <c r="A9" s="4"/>
      <c r="B9" s="4"/>
      <c r="C9" s="4">
        <v>18.45</v>
      </c>
      <c r="D9" s="4"/>
      <c r="E9" s="4"/>
      <c r="F9" s="5"/>
      <c r="G9" s="2">
        <f t="shared" ref="G9:G23" si="0">SUM(A9:E9)</f>
        <v>18.45</v>
      </c>
      <c r="H9" s="4"/>
      <c r="I9" s="242" t="s">
        <v>475</v>
      </c>
      <c r="J9" s="50">
        <v>43003</v>
      </c>
      <c r="K9" s="4" t="s">
        <v>448</v>
      </c>
      <c r="L9" s="300" t="s">
        <v>449</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476</v>
      </c>
      <c r="J10" s="50">
        <v>43012</v>
      </c>
      <c r="K10" s="8" t="s">
        <v>477</v>
      </c>
      <c r="L10" s="300" t="s">
        <v>449</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467</v>
      </c>
      <c r="J11" s="50">
        <v>43030</v>
      </c>
      <c r="K11" s="8" t="s">
        <v>478</v>
      </c>
      <c r="L11" s="300" t="s">
        <v>449</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343</v>
      </c>
      <c r="J12" s="50">
        <v>43031</v>
      </c>
      <c r="K12" s="8" t="s">
        <v>479</v>
      </c>
      <c r="L12" s="300" t="s">
        <v>345</v>
      </c>
      <c r="M12" s="4"/>
    </row>
    <row r="13" spans="1:27" s="41" customFormat="1" ht="30" hidden="1" customHeight="1">
      <c r="A13" s="44"/>
      <c r="B13" s="44"/>
      <c r="C13" s="44"/>
      <c r="D13" s="44"/>
      <c r="E13" s="44">
        <v>15.45</v>
      </c>
      <c r="F13" s="44"/>
      <c r="G13" s="108">
        <f t="shared" si="0"/>
        <v>15.45</v>
      </c>
      <c r="H13" s="4"/>
      <c r="I13" s="238" t="s">
        <v>343</v>
      </c>
      <c r="J13" s="50">
        <v>43027</v>
      </c>
      <c r="K13" s="8" t="s">
        <v>480</v>
      </c>
      <c r="L13" s="300" t="s">
        <v>345</v>
      </c>
      <c r="M13" s="4"/>
    </row>
    <row r="14" spans="1:27" s="41" customFormat="1" ht="30" hidden="1" customHeight="1">
      <c r="A14" s="44"/>
      <c r="B14" s="44"/>
      <c r="C14" s="44"/>
      <c r="D14" s="44"/>
      <c r="E14" s="44">
        <v>175.88</v>
      </c>
      <c r="F14" s="44"/>
      <c r="G14" s="108">
        <f t="shared" si="0"/>
        <v>175.88</v>
      </c>
      <c r="H14" s="4"/>
      <c r="I14" s="238" t="s">
        <v>343</v>
      </c>
      <c r="J14" s="50">
        <v>43034</v>
      </c>
      <c r="K14" s="8" t="s">
        <v>347</v>
      </c>
      <c r="L14" s="300" t="s">
        <v>345</v>
      </c>
      <c r="M14" s="4"/>
    </row>
    <row r="15" spans="1:27" s="41" customFormat="1" ht="30" hidden="1" customHeight="1">
      <c r="A15" s="44"/>
      <c r="B15" s="44"/>
      <c r="C15" s="44"/>
      <c r="D15" s="44"/>
      <c r="E15" s="44">
        <v>106.6</v>
      </c>
      <c r="F15" s="44"/>
      <c r="G15" s="108">
        <f t="shared" si="0"/>
        <v>106.6</v>
      </c>
      <c r="H15" s="4"/>
      <c r="I15" s="238" t="s">
        <v>343</v>
      </c>
      <c r="J15" s="50">
        <v>43039</v>
      </c>
      <c r="K15" s="8" t="s">
        <v>348</v>
      </c>
      <c r="L15" s="300" t="s">
        <v>345</v>
      </c>
      <c r="M15" s="4"/>
    </row>
    <row r="16" spans="1:27" s="41" customFormat="1" ht="30" hidden="1" customHeight="1">
      <c r="A16" s="44"/>
      <c r="B16" s="44"/>
      <c r="C16" s="44"/>
      <c r="D16" s="44">
        <v>125.88</v>
      </c>
      <c r="E16" s="44"/>
      <c r="F16" s="44"/>
      <c r="G16" s="108">
        <f t="shared" si="0"/>
        <v>125.88</v>
      </c>
      <c r="H16" s="4"/>
      <c r="I16" s="238" t="s">
        <v>349</v>
      </c>
      <c r="J16" s="50">
        <v>43076</v>
      </c>
      <c r="K16" s="8" t="s">
        <v>350</v>
      </c>
      <c r="L16" s="300" t="s">
        <v>351</v>
      </c>
      <c r="M16" s="4"/>
      <c r="N16" s="250"/>
    </row>
    <row r="17" spans="1:27" s="41" customFormat="1" ht="30" hidden="1" customHeight="1">
      <c r="A17" s="44"/>
      <c r="B17" s="44"/>
      <c r="C17" s="44"/>
      <c r="D17" s="44">
        <f>2007.18/14</f>
        <v>143.37</v>
      </c>
      <c r="E17" s="44"/>
      <c r="F17" s="44"/>
      <c r="G17" s="108">
        <f t="shared" si="0"/>
        <v>143.37</v>
      </c>
      <c r="H17" s="4"/>
      <c r="I17" s="238" t="s">
        <v>352</v>
      </c>
      <c r="J17" s="50">
        <v>43071</v>
      </c>
      <c r="K17" s="8" t="s">
        <v>481</v>
      </c>
      <c r="L17" s="300" t="s">
        <v>351</v>
      </c>
      <c r="M17" s="4"/>
      <c r="N17" s="301" t="s">
        <v>354</v>
      </c>
    </row>
    <row r="18" spans="1:27" s="41" customFormat="1" ht="30" hidden="1" customHeight="1">
      <c r="A18" s="44"/>
      <c r="B18" s="44"/>
      <c r="C18" s="44"/>
      <c r="D18" s="44"/>
      <c r="E18" s="44">
        <f>270720/83.301793/18*2</f>
        <v>361.09666931178776</v>
      </c>
      <c r="F18" s="44"/>
      <c r="G18" s="108">
        <f t="shared" si="0"/>
        <v>361.09666931178776</v>
      </c>
      <c r="H18" s="4"/>
      <c r="I18" s="238" t="s">
        <v>352</v>
      </c>
      <c r="J18" s="50">
        <v>43071</v>
      </c>
      <c r="K18" s="8" t="s">
        <v>355</v>
      </c>
      <c r="L18" s="300" t="s">
        <v>351</v>
      </c>
      <c r="M18" s="4"/>
      <c r="N18" s="302" t="s">
        <v>356</v>
      </c>
    </row>
    <row r="19" spans="1:27" s="41" customFormat="1" ht="30" hidden="1" customHeight="1">
      <c r="A19" s="44"/>
      <c r="B19" s="44"/>
      <c r="C19" s="44"/>
      <c r="D19" s="44"/>
      <c r="E19" s="44">
        <f>28000/84.101763/8+28000/83.412774/8</f>
        <v>83.576250101492519</v>
      </c>
      <c r="F19" s="44"/>
      <c r="G19" s="108">
        <f t="shared" si="0"/>
        <v>83.576250101492519</v>
      </c>
      <c r="H19" s="4"/>
      <c r="I19" s="238" t="s">
        <v>352</v>
      </c>
      <c r="J19" s="50">
        <v>43074</v>
      </c>
      <c r="K19" s="8" t="s">
        <v>482</v>
      </c>
      <c r="L19" s="300" t="s">
        <v>351</v>
      </c>
      <c r="M19" s="4"/>
      <c r="N19" s="302" t="s">
        <v>358</v>
      </c>
    </row>
    <row r="20" spans="1:27" s="41" customFormat="1" ht="30" hidden="1" customHeight="1">
      <c r="A20" s="44"/>
      <c r="B20" s="44"/>
      <c r="C20" s="44"/>
      <c r="D20" s="44"/>
      <c r="E20" s="44">
        <v>-167.52</v>
      </c>
      <c r="F20" s="44"/>
      <c r="G20" s="108">
        <f t="shared" si="0"/>
        <v>-167.52</v>
      </c>
      <c r="H20" s="4"/>
      <c r="I20" s="238" t="s">
        <v>360</v>
      </c>
      <c r="J20" s="50">
        <v>43049</v>
      </c>
      <c r="K20" s="8" t="s">
        <v>361</v>
      </c>
      <c r="L20" s="300" t="s">
        <v>351</v>
      </c>
      <c r="M20" s="4"/>
    </row>
    <row r="21" spans="1:27" s="41" customFormat="1" ht="30" hidden="1" customHeight="1">
      <c r="A21" s="44"/>
      <c r="B21" s="44"/>
      <c r="C21" s="44"/>
      <c r="D21" s="44"/>
      <c r="E21" s="44">
        <f>103.11/4</f>
        <v>25.7775</v>
      </c>
      <c r="F21" s="44"/>
      <c r="G21" s="108">
        <f t="shared" si="0"/>
        <v>25.7775</v>
      </c>
      <c r="H21" s="4"/>
      <c r="I21" s="238" t="s">
        <v>367</v>
      </c>
      <c r="J21" s="50">
        <v>76042</v>
      </c>
      <c r="K21" s="8" t="s">
        <v>483</v>
      </c>
      <c r="L21" s="300" t="s">
        <v>369</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367</v>
      </c>
      <c r="J22" s="50">
        <v>43169</v>
      </c>
      <c r="K22" s="8" t="s">
        <v>483</v>
      </c>
      <c r="L22" s="300" t="s">
        <v>369</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367</v>
      </c>
      <c r="J23" s="50">
        <v>43169</v>
      </c>
      <c r="K23" s="8" t="s">
        <v>483</v>
      </c>
      <c r="L23" s="300" t="s">
        <v>369</v>
      </c>
      <c r="M23" s="4"/>
      <c r="N23" s="290"/>
      <c r="O23" s="4"/>
      <c r="P23" s="134"/>
      <c r="Q23" s="4"/>
      <c r="R23" s="4"/>
      <c r="S23" s="4"/>
      <c r="T23" s="4"/>
    </row>
    <row r="24" spans="1:27" s="5" customFormat="1" ht="28.5" hidden="1" customHeight="1">
      <c r="D24" s="5">
        <v>996.51</v>
      </c>
      <c r="G24" s="108">
        <f>SUM(A24:E24)</f>
        <v>996.51</v>
      </c>
      <c r="I24" s="241">
        <v>3100976046</v>
      </c>
      <c r="J24" s="50">
        <v>43169</v>
      </c>
      <c r="K24" s="8" t="s">
        <v>484</v>
      </c>
      <c r="L24" s="300" t="s">
        <v>369</v>
      </c>
    </row>
    <row r="25" spans="1:27" s="41" customFormat="1" ht="30" hidden="1" customHeight="1">
      <c r="A25" s="44"/>
      <c r="B25" s="44"/>
      <c r="C25" s="44"/>
      <c r="D25" s="44"/>
      <c r="E25" s="44">
        <f>560.73/3</f>
        <v>186.91</v>
      </c>
      <c r="F25" s="44"/>
      <c r="G25" s="108">
        <f>SUM(A25:E25)</f>
        <v>186.91</v>
      </c>
      <c r="H25" s="4"/>
      <c r="I25" s="238" t="s">
        <v>360</v>
      </c>
      <c r="J25" s="50">
        <v>43169</v>
      </c>
      <c r="K25" s="8" t="s">
        <v>485</v>
      </c>
      <c r="L25" s="300" t="s">
        <v>369</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370</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474</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371</v>
      </c>
      <c r="B32" s="291"/>
      <c r="C32" s="291"/>
      <c r="D32" s="291"/>
      <c r="E32" s="291"/>
      <c r="I32" s="243"/>
      <c r="J32" s="234"/>
      <c r="L32" s="162"/>
    </row>
    <row r="33" spans="1:256" s="2" customFormat="1" ht="13.5" hidden="1" customHeight="1">
      <c r="I33" s="243"/>
      <c r="J33" s="234"/>
      <c r="L33" s="162"/>
    </row>
    <row r="34" spans="1:256" s="4" customFormat="1" ht="13.5" hidden="1" customHeight="1">
      <c r="A34" s="4" t="s">
        <v>372</v>
      </c>
      <c r="C34" s="6">
        <f>'SUMMARY 2018.19'!B2</f>
        <v>43555</v>
      </c>
      <c r="D34" s="2"/>
      <c r="E34" s="2"/>
      <c r="F34" s="2"/>
      <c r="G34" s="2"/>
      <c r="H34" s="2"/>
      <c r="I34" s="243"/>
      <c r="J34" s="234"/>
      <c r="K34" s="2"/>
      <c r="L34" s="161"/>
    </row>
    <row r="35" spans="1:256" s="4" customFormat="1" ht="36.75" hidden="1" customHeight="1">
      <c r="A35" s="568" t="s">
        <v>308</v>
      </c>
      <c r="B35" s="568"/>
      <c r="C35" s="568"/>
      <c r="D35" s="568"/>
      <c r="E35" s="568"/>
      <c r="F35" s="568"/>
      <c r="G35" s="568"/>
      <c r="H35" s="568"/>
      <c r="I35" s="568"/>
      <c r="J35" s="568"/>
      <c r="K35" s="568"/>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309</v>
      </c>
      <c r="H37" s="51"/>
      <c r="I37" s="239" t="s">
        <v>310</v>
      </c>
      <c r="J37" s="52" t="s">
        <v>53</v>
      </c>
      <c r="K37" s="51" t="s">
        <v>311</v>
      </c>
      <c r="L37" s="161"/>
    </row>
    <row r="38" spans="1:256" s="18" customFormat="1" ht="30" hidden="1" customHeight="1">
      <c r="A38" s="44"/>
      <c r="B38" s="44"/>
      <c r="C38" s="44">
        <f>69*0.75</f>
        <v>51.75</v>
      </c>
      <c r="D38" s="44"/>
      <c r="E38" s="44"/>
      <c r="F38" s="44"/>
      <c r="G38" s="108">
        <f>SUM(A38:E38)</f>
        <v>51.75</v>
      </c>
      <c r="H38" s="4"/>
      <c r="I38" s="4" t="s">
        <v>454</v>
      </c>
      <c r="J38" s="50">
        <v>43366</v>
      </c>
      <c r="K38" s="4" t="s">
        <v>455</v>
      </c>
      <c r="M38" s="16"/>
      <c r="O38" s="299" t="s">
        <v>449</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486</v>
      </c>
      <c r="J39" s="50">
        <v>43375</v>
      </c>
      <c r="K39" s="4" t="s">
        <v>487</v>
      </c>
      <c r="L39" s="161"/>
    </row>
    <row r="40" spans="1:256" ht="27" hidden="1" customHeight="1">
      <c r="A40" s="194"/>
      <c r="B40" s="194"/>
      <c r="C40" s="194"/>
      <c r="D40" s="194">
        <f>244.5</f>
        <v>244.5</v>
      </c>
      <c r="E40" s="194"/>
      <c r="F40" s="194"/>
      <c r="G40" s="2">
        <f t="shared" ref="G40:G41" si="5">SUM(A40:E40)</f>
        <v>244.5</v>
      </c>
      <c r="H40" s="4"/>
      <c r="I40" s="4" t="s">
        <v>488</v>
      </c>
      <c r="J40" s="50">
        <v>43399</v>
      </c>
      <c r="K40" s="287" t="s">
        <v>376</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456</v>
      </c>
      <c r="J41" s="50">
        <v>43366</v>
      </c>
      <c r="K41" s="8" t="s">
        <v>457</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458</v>
      </c>
      <c r="J42" s="10">
        <v>43366</v>
      </c>
      <c r="K42" s="45" t="s">
        <v>459</v>
      </c>
      <c r="L42" s="16"/>
      <c r="M42" s="4"/>
      <c r="N42" s="4"/>
      <c r="O42" s="250" t="s">
        <v>449</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377</v>
      </c>
      <c r="J43" s="50">
        <v>43416</v>
      </c>
      <c r="K43" s="287" t="s">
        <v>378</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377</v>
      </c>
      <c r="J44" s="50">
        <v>43417</v>
      </c>
      <c r="K44" s="287" t="s">
        <v>379</v>
      </c>
      <c r="M44" s="4"/>
      <c r="N44" s="246"/>
      <c r="O44" s="250"/>
      <c r="Q44" s="250"/>
    </row>
    <row r="45" spans="1:256" s="41" customFormat="1" ht="22.5" hidden="1" customHeight="1">
      <c r="A45" s="44"/>
      <c r="B45" s="44"/>
      <c r="C45" s="44"/>
      <c r="D45" s="44">
        <v>9.8000000000000007</v>
      </c>
      <c r="E45" s="44"/>
      <c r="F45" s="44"/>
      <c r="G45" s="108">
        <f t="shared" si="8"/>
        <v>9.8000000000000007</v>
      </c>
      <c r="H45" s="4"/>
      <c r="I45" s="4" t="s">
        <v>489</v>
      </c>
      <c r="J45" s="50">
        <v>43443</v>
      </c>
      <c r="K45" s="287" t="s">
        <v>490</v>
      </c>
      <c r="M45" s="250" t="s">
        <v>382</v>
      </c>
      <c r="N45" s="246"/>
      <c r="O45" s="250"/>
      <c r="Q45" s="250"/>
    </row>
    <row r="46" spans="1:256" s="41" customFormat="1" ht="22.5" hidden="1" customHeight="1">
      <c r="A46" s="44"/>
      <c r="B46" s="44"/>
      <c r="C46" s="44"/>
      <c r="D46" s="44">
        <v>53.3</v>
      </c>
      <c r="E46" s="44"/>
      <c r="F46" s="44"/>
      <c r="G46" s="108">
        <f t="shared" si="8"/>
        <v>53.3</v>
      </c>
      <c r="H46" s="4"/>
      <c r="I46" s="4" t="s">
        <v>489</v>
      </c>
      <c r="J46" s="50">
        <v>43375</v>
      </c>
      <c r="K46" s="287" t="s">
        <v>491</v>
      </c>
      <c r="M46" s="250" t="s">
        <v>382</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380</v>
      </c>
      <c r="J47" s="50">
        <v>43415</v>
      </c>
      <c r="K47" s="287" t="s">
        <v>492</v>
      </c>
      <c r="L47" s="250"/>
      <c r="M47" s="250" t="s">
        <v>382</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383</v>
      </c>
      <c r="J48" s="50">
        <v>43416</v>
      </c>
      <c r="K48" s="287" t="s">
        <v>384</v>
      </c>
      <c r="L48" s="250" t="s">
        <v>382</v>
      </c>
      <c r="M48" s="250" t="s">
        <v>382</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493</v>
      </c>
      <c r="J49" s="50">
        <v>43415</v>
      </c>
      <c r="K49" s="287" t="s">
        <v>386</v>
      </c>
      <c r="L49" s="250" t="s">
        <v>382</v>
      </c>
      <c r="M49" s="250" t="s">
        <v>382</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387</v>
      </c>
      <c r="J50" s="50">
        <v>43440</v>
      </c>
      <c r="K50" s="287" t="s">
        <v>388</v>
      </c>
      <c r="L50" s="250"/>
      <c r="M50" s="250" t="s">
        <v>382</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474</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390</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372</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68" t="s">
        <v>308</v>
      </c>
      <c r="B59" s="568"/>
      <c r="C59" s="568"/>
      <c r="D59" s="568"/>
      <c r="E59" s="568"/>
      <c r="F59" s="568"/>
      <c r="G59" s="568"/>
      <c r="H59" s="568"/>
      <c r="I59" s="568"/>
      <c r="J59" s="568"/>
      <c r="K59" s="568"/>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309</v>
      </c>
      <c r="H61" s="58"/>
      <c r="I61" s="51" t="s">
        <v>310</v>
      </c>
      <c r="J61" s="51" t="s">
        <v>53</v>
      </c>
      <c r="K61" s="51" t="s">
        <v>311</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391</v>
      </c>
      <c r="J62" s="50">
        <v>43708</v>
      </c>
      <c r="K62" s="287" t="s">
        <v>392</v>
      </c>
      <c r="N62" s="8"/>
      <c r="P62" s="134"/>
    </row>
    <row r="63" spans="1:256" s="4" customFormat="1" ht="13.15" hidden="1">
      <c r="A63" s="194"/>
      <c r="B63" s="194"/>
      <c r="C63" s="194"/>
      <c r="D63" s="194">
        <v>121</v>
      </c>
      <c r="E63" s="194"/>
      <c r="F63" s="194"/>
      <c r="G63" s="2">
        <f t="shared" si="12"/>
        <v>121</v>
      </c>
      <c r="I63" s="240" t="s">
        <v>391</v>
      </c>
      <c r="J63" s="50">
        <v>43708</v>
      </c>
      <c r="K63" s="287" t="s">
        <v>393</v>
      </c>
      <c r="L63" s="250"/>
      <c r="Q63" s="250"/>
    </row>
    <row r="64" spans="1:256" s="4" customFormat="1" ht="11.25" hidden="1" customHeight="1">
      <c r="D64" s="4">
        <f>398.13/7</f>
        <v>56.875714285714288</v>
      </c>
      <c r="G64" s="2">
        <f t="shared" si="12"/>
        <v>56.875714285714288</v>
      </c>
      <c r="I64" s="240" t="s">
        <v>394</v>
      </c>
      <c r="J64" s="50">
        <v>43709</v>
      </c>
      <c r="K64" s="8" t="s">
        <v>395</v>
      </c>
      <c r="N64" s="8"/>
      <c r="P64" s="134"/>
    </row>
    <row r="65" spans="1:18" s="4" customFormat="1" ht="13.15" hidden="1">
      <c r="A65" s="194"/>
      <c r="B65" s="194"/>
      <c r="C65" s="194"/>
      <c r="E65" s="194">
        <f>48.02/7</f>
        <v>6.86</v>
      </c>
      <c r="F65" s="194"/>
      <c r="G65" s="2">
        <f t="shared" si="12"/>
        <v>6.86</v>
      </c>
      <c r="I65" s="240" t="s">
        <v>394</v>
      </c>
      <c r="J65" s="50">
        <v>43709</v>
      </c>
      <c r="K65" s="8"/>
      <c r="L65" s="250"/>
      <c r="Q65" s="250"/>
    </row>
    <row r="66" spans="1:18" s="4" customFormat="1" ht="11.25" hidden="1" customHeight="1">
      <c r="E66" s="4">
        <f>58.65/4</f>
        <v>14.6625</v>
      </c>
      <c r="G66" s="2">
        <f t="shared" si="12"/>
        <v>14.6625</v>
      </c>
      <c r="I66" s="240" t="s">
        <v>394</v>
      </c>
      <c r="J66" s="50">
        <v>43710</v>
      </c>
      <c r="K66" s="8" t="s">
        <v>494</v>
      </c>
      <c r="N66" s="8"/>
      <c r="P66" s="134"/>
    </row>
    <row r="67" spans="1:18" s="4" customFormat="1" ht="13.15" hidden="1">
      <c r="D67" s="4">
        <f>850.06/4</f>
        <v>212.51499999999999</v>
      </c>
      <c r="G67" s="2">
        <f t="shared" si="12"/>
        <v>212.51499999999999</v>
      </c>
      <c r="I67" s="240" t="s">
        <v>391</v>
      </c>
      <c r="J67" s="50">
        <v>43710</v>
      </c>
      <c r="K67" s="287" t="s">
        <v>396</v>
      </c>
      <c r="N67" s="8"/>
      <c r="P67" s="134"/>
    </row>
    <row r="68" spans="1:18" s="4" customFormat="1" ht="13.15" hidden="1">
      <c r="E68" s="4">
        <f>130/1.2*0.75</f>
        <v>81.25</v>
      </c>
      <c r="G68" s="2">
        <f t="shared" si="12"/>
        <v>81.25</v>
      </c>
      <c r="I68" s="240" t="s">
        <v>460</v>
      </c>
      <c r="J68" s="50">
        <v>43729</v>
      </c>
      <c r="K68" s="287" t="s">
        <v>461</v>
      </c>
      <c r="N68" s="8"/>
      <c r="P68" s="134"/>
    </row>
    <row r="69" spans="1:18" s="4" customFormat="1" ht="12" hidden="1" customHeight="1">
      <c r="D69" s="4">
        <v>88.13</v>
      </c>
      <c r="G69" s="2">
        <f t="shared" si="12"/>
        <v>88.13</v>
      </c>
      <c r="I69" s="240" t="s">
        <v>397</v>
      </c>
      <c r="J69" s="50">
        <v>43856</v>
      </c>
      <c r="K69" s="287" t="s">
        <v>473</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495</v>
      </c>
      <c r="J71" s="50">
        <v>43919</v>
      </c>
      <c r="K71" s="270" t="s">
        <v>496</v>
      </c>
      <c r="N71" s="8"/>
      <c r="P71" s="134"/>
      <c r="R71" s="4" t="s">
        <v>497</v>
      </c>
    </row>
    <row r="72" spans="1:18" s="4" customFormat="1" ht="25.9" hidden="1">
      <c r="D72" s="4">
        <v>-1036.17</v>
      </c>
      <c r="G72" s="271">
        <f t="shared" si="12"/>
        <v>-1036.17</v>
      </c>
      <c r="I72" s="240" t="s">
        <v>498</v>
      </c>
      <c r="J72" s="50">
        <v>43919</v>
      </c>
      <c r="K72" s="270" t="s">
        <v>499</v>
      </c>
      <c r="N72" s="8"/>
      <c r="P72" s="134"/>
      <c r="R72" s="4" t="s">
        <v>497</v>
      </c>
    </row>
    <row r="73" spans="1:18" s="4" customFormat="1" ht="13.15" hidden="1">
      <c r="C73" s="4">
        <v>13.95</v>
      </c>
      <c r="G73" s="271">
        <f t="shared" si="12"/>
        <v>13.95</v>
      </c>
      <c r="I73" s="240" t="s">
        <v>500</v>
      </c>
      <c r="J73" s="50">
        <v>43732</v>
      </c>
      <c r="K73" s="270" t="s">
        <v>501</v>
      </c>
      <c r="N73" s="8"/>
      <c r="P73" s="134"/>
    </row>
    <row r="74" spans="1:18" s="4" customFormat="1" ht="13.15" hidden="1">
      <c r="E74" s="4">
        <v>258</v>
      </c>
      <c r="G74" s="271">
        <f>SUM(A74:E74)</f>
        <v>258</v>
      </c>
      <c r="I74" s="240" t="s">
        <v>502</v>
      </c>
      <c r="J74" s="50">
        <v>43866</v>
      </c>
      <c r="K74" s="282" t="s">
        <v>503</v>
      </c>
      <c r="N74" s="8"/>
      <c r="P74" s="134"/>
    </row>
    <row r="75" spans="1:18" s="4" customFormat="1" ht="13.15" hidden="1">
      <c r="D75" s="4">
        <v>68.5</v>
      </c>
      <c r="G75" s="271">
        <f>SUM(A75:E75)</f>
        <v>68.5</v>
      </c>
      <c r="I75" s="240" t="s">
        <v>502</v>
      </c>
      <c r="J75" s="50">
        <v>43866</v>
      </c>
      <c r="K75" s="270" t="s">
        <v>504</v>
      </c>
      <c r="N75" s="8"/>
      <c r="P75" s="134"/>
    </row>
    <row r="76" spans="1:18" s="4" customFormat="1" ht="13.15" hidden="1">
      <c r="D76" s="4">
        <v>234</v>
      </c>
      <c r="G76" s="271">
        <f>SUM(A76:E76)</f>
        <v>234</v>
      </c>
      <c r="I76" s="240" t="s">
        <v>399</v>
      </c>
      <c r="J76" s="50">
        <v>43879</v>
      </c>
      <c r="K76" s="270" t="s">
        <v>400</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474</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401</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68" t="s">
        <v>308</v>
      </c>
      <c r="B85" s="568"/>
      <c r="C85" s="568"/>
      <c r="D85" s="568"/>
      <c r="E85" s="568"/>
      <c r="F85" s="568"/>
      <c r="G85" s="568"/>
      <c r="H85" s="568"/>
      <c r="I85" s="568"/>
      <c r="J85" s="568"/>
      <c r="K85" s="568"/>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309</v>
      </c>
      <c r="H87" s="58"/>
      <c r="I87" s="51" t="s">
        <v>310</v>
      </c>
      <c r="J87" s="51" t="s">
        <v>53</v>
      </c>
      <c r="K87" s="51" t="s">
        <v>311</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505</v>
      </c>
      <c r="B1" s="100"/>
      <c r="C1" s="100"/>
      <c r="D1" s="100"/>
      <c r="E1" s="100"/>
      <c r="G1" s="2"/>
      <c r="J1" s="10"/>
      <c r="M1" s="80" t="s">
        <v>300</v>
      </c>
      <c r="Q1" s="107"/>
    </row>
    <row r="2" spans="1:43" s="2" customFormat="1" ht="13.5" hidden="1" customHeight="1">
      <c r="A2" s="102" t="s">
        <v>506</v>
      </c>
      <c r="B2" s="100"/>
      <c r="C2" s="100"/>
      <c r="D2" s="102"/>
      <c r="E2" s="102"/>
      <c r="J2" s="3"/>
      <c r="M2" s="77" t="s">
        <v>302</v>
      </c>
      <c r="Q2" s="172"/>
    </row>
    <row r="3" spans="1:43" s="2" customFormat="1" ht="13.5" hidden="1" customHeight="1">
      <c r="A3" s="100" t="s">
        <v>339</v>
      </c>
      <c r="B3" s="100"/>
      <c r="C3" s="100"/>
      <c r="D3" s="100"/>
      <c r="E3" s="100"/>
      <c r="J3" s="3"/>
      <c r="M3" s="77" t="s">
        <v>305</v>
      </c>
      <c r="Q3" s="172"/>
    </row>
    <row r="4" spans="1:43" s="2" customFormat="1" ht="13.5" hidden="1" customHeight="1">
      <c r="J4" s="3"/>
      <c r="M4" s="77"/>
      <c r="Q4" s="172"/>
    </row>
    <row r="5" spans="1:43" s="4" customFormat="1" ht="13.5" hidden="1" customHeight="1">
      <c r="A5" s="4" t="s">
        <v>372</v>
      </c>
      <c r="C5" s="6">
        <v>43190</v>
      </c>
      <c r="D5" s="2"/>
      <c r="E5" s="2"/>
      <c r="F5" s="2"/>
      <c r="G5" s="2"/>
      <c r="H5" s="2"/>
      <c r="I5" s="2"/>
      <c r="J5" s="3"/>
      <c r="K5" s="2"/>
      <c r="M5" s="80"/>
      <c r="Q5" s="107"/>
    </row>
    <row r="6" spans="1:43" s="4" customFormat="1" ht="36.950000000000003" hidden="1" customHeight="1">
      <c r="A6" s="568" t="s">
        <v>308</v>
      </c>
      <c r="B6" s="568"/>
      <c r="C6" s="568"/>
      <c r="D6" s="568"/>
      <c r="E6" s="568"/>
      <c r="F6" s="568"/>
      <c r="G6" s="568"/>
      <c r="H6" s="568"/>
      <c r="I6" s="568"/>
      <c r="J6" s="568"/>
      <c r="K6" s="568"/>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309</v>
      </c>
      <c r="H8" s="7"/>
      <c r="I8" s="7" t="s">
        <v>310</v>
      </c>
      <c r="J8" s="9" t="s">
        <v>53</v>
      </c>
      <c r="K8" s="7" t="s">
        <v>311</v>
      </c>
      <c r="M8" s="80"/>
      <c r="Q8" s="107"/>
    </row>
    <row r="9" spans="1:43" s="18" customFormat="1" ht="30" hidden="1" customHeight="1">
      <c r="A9" s="44"/>
      <c r="B9" s="44"/>
      <c r="C9" s="44"/>
      <c r="D9" s="44"/>
      <c r="E9" s="44">
        <f>108.33*0.75</f>
        <v>81.247500000000002</v>
      </c>
      <c r="F9" s="44"/>
      <c r="G9" s="108">
        <f t="shared" ref="G9:G15" si="0">SUM(A9:E9)</f>
        <v>81.247500000000002</v>
      </c>
      <c r="H9" s="4"/>
      <c r="I9" s="4" t="s">
        <v>507</v>
      </c>
      <c r="J9" s="10">
        <v>43002</v>
      </c>
      <c r="K9" s="4" t="s">
        <v>508</v>
      </c>
      <c r="L9" s="41"/>
      <c r="M9" s="81"/>
      <c r="N9" s="41"/>
      <c r="O9" s="120" t="s">
        <v>449</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467</v>
      </c>
      <c r="J10" s="10">
        <v>43001</v>
      </c>
      <c r="K10" s="4" t="s">
        <v>466</v>
      </c>
      <c r="L10" s="4"/>
      <c r="M10" s="80"/>
      <c r="N10" s="4"/>
      <c r="O10" s="120" t="s">
        <v>449</v>
      </c>
      <c r="P10" s="4"/>
    </row>
    <row r="11" spans="1:43" s="18" customFormat="1" ht="30" hidden="1" customHeight="1">
      <c r="A11" s="44"/>
      <c r="B11" s="44"/>
      <c r="C11" s="44"/>
      <c r="D11" s="44"/>
      <c r="E11" s="44">
        <v>290</v>
      </c>
      <c r="F11" s="44"/>
      <c r="G11" s="108">
        <f t="shared" si="0"/>
        <v>290</v>
      </c>
      <c r="H11" s="4"/>
      <c r="I11" s="4" t="s">
        <v>467</v>
      </c>
      <c r="J11" s="10">
        <v>43009</v>
      </c>
      <c r="K11" s="4" t="s">
        <v>509</v>
      </c>
      <c r="L11" s="41"/>
      <c r="M11" s="81"/>
      <c r="N11" s="74"/>
      <c r="O11" s="120" t="s">
        <v>449</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510</v>
      </c>
      <c r="J12" s="10">
        <v>43009</v>
      </c>
      <c r="K12" s="4" t="s">
        <v>511</v>
      </c>
      <c r="L12" s="41"/>
      <c r="M12" s="81"/>
      <c r="N12" s="74"/>
      <c r="O12" s="120" t="s">
        <v>449</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512</v>
      </c>
      <c r="L13" s="41"/>
      <c r="M13" s="81"/>
      <c r="N13" s="74"/>
      <c r="O13" s="126" t="s">
        <v>345</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513</v>
      </c>
      <c r="L14" s="64"/>
      <c r="M14" s="64"/>
      <c r="N14" s="64"/>
      <c r="O14" s="157" t="s">
        <v>369</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505</v>
      </c>
      <c r="B18" s="158"/>
      <c r="C18" s="158"/>
      <c r="D18" s="158"/>
      <c r="E18" s="158"/>
      <c r="G18" s="2"/>
      <c r="J18" s="10"/>
      <c r="M18" s="80" t="s">
        <v>300</v>
      </c>
      <c r="Q18" s="107"/>
    </row>
    <row r="19" spans="1:17" s="2" customFormat="1" ht="13.5" hidden="1" customHeight="1">
      <c r="A19" s="159" t="s">
        <v>506</v>
      </c>
      <c r="B19" s="158"/>
      <c r="C19" s="158"/>
      <c r="D19" s="159"/>
      <c r="E19" s="159"/>
      <c r="J19" s="3"/>
      <c r="M19" s="77" t="s">
        <v>302</v>
      </c>
      <c r="Q19" s="107"/>
    </row>
    <row r="20" spans="1:17" s="2" customFormat="1" ht="13.5" hidden="1" customHeight="1">
      <c r="A20" s="158" t="s">
        <v>371</v>
      </c>
      <c r="B20" s="158"/>
      <c r="C20" s="158"/>
      <c r="D20" s="158"/>
      <c r="E20" s="158"/>
      <c r="J20" s="3"/>
      <c r="M20" s="77" t="s">
        <v>305</v>
      </c>
      <c r="Q20" s="172"/>
    </row>
    <row r="21" spans="1:17" s="2" customFormat="1" ht="13.5" hidden="1" customHeight="1">
      <c r="J21" s="3"/>
      <c r="M21" s="77"/>
      <c r="Q21" s="172"/>
    </row>
    <row r="22" spans="1:17" s="4" customFormat="1" ht="13.5" hidden="1" customHeight="1">
      <c r="A22" s="4" t="s">
        <v>372</v>
      </c>
      <c r="C22" s="6">
        <f>'SUMMARY 2018.19'!B2</f>
        <v>43555</v>
      </c>
      <c r="D22" s="2"/>
      <c r="E22" s="2"/>
      <c r="F22" s="2"/>
      <c r="G22" s="2"/>
      <c r="H22" s="2"/>
      <c r="I22" s="2"/>
      <c r="J22" s="3"/>
      <c r="K22" s="2"/>
      <c r="M22" s="80"/>
      <c r="Q22" s="107"/>
    </row>
    <row r="23" spans="1:17" s="4" customFormat="1" ht="36.950000000000003" hidden="1" customHeight="1">
      <c r="A23" s="568" t="s">
        <v>308</v>
      </c>
      <c r="B23" s="568"/>
      <c r="C23" s="568"/>
      <c r="D23" s="568"/>
      <c r="E23" s="568"/>
      <c r="F23" s="568"/>
      <c r="G23" s="568"/>
      <c r="H23" s="568"/>
      <c r="I23" s="568"/>
      <c r="J23" s="568"/>
      <c r="K23" s="568"/>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309</v>
      </c>
      <c r="H25" s="7"/>
      <c r="I25" s="7" t="s">
        <v>310</v>
      </c>
      <c r="J25" s="9" t="s">
        <v>53</v>
      </c>
      <c r="K25" s="7" t="s">
        <v>311</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514</v>
      </c>
      <c r="M26" s="81"/>
      <c r="O26" s="120" t="s">
        <v>515</v>
      </c>
      <c r="Q26" s="126" t="s">
        <v>516</v>
      </c>
    </row>
    <row r="27" spans="1:17" s="41" customFormat="1" ht="28.5" hidden="1" customHeight="1">
      <c r="A27" s="44"/>
      <c r="B27" s="44"/>
      <c r="C27" s="44"/>
      <c r="D27" s="44"/>
      <c r="E27" s="44">
        <v>561.04999999999995</v>
      </c>
      <c r="F27" s="44"/>
      <c r="G27" s="108">
        <f t="shared" si="1"/>
        <v>561.04999999999995</v>
      </c>
      <c r="H27" s="4"/>
      <c r="I27" s="4" t="s">
        <v>517</v>
      </c>
      <c r="J27" s="10">
        <v>43211</v>
      </c>
      <c r="K27" s="8" t="s">
        <v>518</v>
      </c>
      <c r="M27" s="81"/>
      <c r="N27" s="74"/>
      <c r="O27" s="120" t="s">
        <v>515</v>
      </c>
      <c r="Q27" s="126" t="s">
        <v>516</v>
      </c>
    </row>
    <row r="28" spans="1:17" s="4" customFormat="1" ht="28.5" hidden="1" customHeight="1">
      <c r="A28" s="63"/>
      <c r="B28" s="63"/>
      <c r="C28" s="63"/>
      <c r="D28" s="44">
        <v>227.7</v>
      </c>
      <c r="E28" s="44"/>
      <c r="F28" s="62"/>
      <c r="G28" s="146">
        <f t="shared" si="1"/>
        <v>227.7</v>
      </c>
      <c r="I28" s="75">
        <v>5109323359</v>
      </c>
      <c r="J28" s="10">
        <v>43216</v>
      </c>
      <c r="K28" s="8" t="s">
        <v>519</v>
      </c>
      <c r="M28" s="80"/>
      <c r="O28" s="120" t="s">
        <v>515</v>
      </c>
      <c r="Q28" s="126" t="s">
        <v>516</v>
      </c>
    </row>
    <row r="29" spans="1:17" s="41" customFormat="1" ht="28.5" hidden="1" customHeight="1">
      <c r="A29" s="44"/>
      <c r="B29" s="44"/>
      <c r="C29" s="44"/>
      <c r="E29" s="44">
        <f>43.73/3</f>
        <v>14.576666666666666</v>
      </c>
      <c r="F29" s="44"/>
      <c r="G29" s="108">
        <f t="shared" si="1"/>
        <v>14.576666666666666</v>
      </c>
      <c r="H29" s="4"/>
      <c r="I29" s="4" t="s">
        <v>517</v>
      </c>
      <c r="J29" s="10">
        <v>43214</v>
      </c>
      <c r="K29" s="8" t="s">
        <v>520</v>
      </c>
      <c r="M29" s="81"/>
      <c r="N29" s="74"/>
      <c r="O29" s="120" t="s">
        <v>515</v>
      </c>
      <c r="Q29" s="126" t="s">
        <v>516</v>
      </c>
    </row>
    <row r="30" spans="1:17" s="41" customFormat="1" ht="28.5" hidden="1" customHeight="1">
      <c r="A30" s="44"/>
      <c r="B30" s="44"/>
      <c r="C30" s="44"/>
      <c r="D30" s="44"/>
      <c r="E30" s="44">
        <f>1204.94/3</f>
        <v>401.6466666666667</v>
      </c>
      <c r="F30" s="44"/>
      <c r="G30" s="108">
        <f t="shared" si="1"/>
        <v>401.6466666666667</v>
      </c>
      <c r="H30" s="4"/>
      <c r="I30" s="4" t="s">
        <v>517</v>
      </c>
      <c r="J30" s="10">
        <v>43214</v>
      </c>
      <c r="K30" s="8" t="s">
        <v>521</v>
      </c>
      <c r="M30" s="81"/>
      <c r="N30" s="74"/>
      <c r="O30" s="120" t="s">
        <v>515</v>
      </c>
      <c r="Q30" s="126" t="s">
        <v>516</v>
      </c>
    </row>
    <row r="31" spans="1:17" s="41" customFormat="1" ht="28.5" hidden="1" customHeight="1">
      <c r="A31" s="44"/>
      <c r="B31" s="44"/>
      <c r="C31" s="44"/>
      <c r="D31" s="44"/>
      <c r="E31" s="44">
        <f>840.47/3</f>
        <v>280.15666666666669</v>
      </c>
      <c r="F31" s="44"/>
      <c r="G31" s="108">
        <f t="shared" si="1"/>
        <v>280.15666666666669</v>
      </c>
      <c r="H31" s="4"/>
      <c r="I31" s="4" t="s">
        <v>517</v>
      </c>
      <c r="J31" s="10">
        <v>43216</v>
      </c>
      <c r="K31" s="8" t="s">
        <v>522</v>
      </c>
      <c r="M31" s="81"/>
      <c r="N31" s="74"/>
      <c r="O31" s="120" t="s">
        <v>515</v>
      </c>
      <c r="Q31" s="126" t="s">
        <v>516</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523</v>
      </c>
      <c r="M32" s="81"/>
      <c r="N32" s="74"/>
      <c r="O32" s="120"/>
      <c r="Q32" s="126" t="s">
        <v>516</v>
      </c>
    </row>
    <row r="33" spans="1:30" s="41" customFormat="1" ht="29.25" hidden="1" customHeight="1">
      <c r="A33" s="44"/>
      <c r="B33" s="44"/>
      <c r="C33" s="44"/>
      <c r="D33" s="44"/>
      <c r="E33" s="44">
        <f>222*0.75</f>
        <v>166.5</v>
      </c>
      <c r="F33" s="44"/>
      <c r="G33" s="108">
        <f t="shared" si="1"/>
        <v>166.5</v>
      </c>
      <c r="H33" s="4"/>
      <c r="I33" s="75" t="s">
        <v>456</v>
      </c>
      <c r="J33" s="10">
        <v>43365</v>
      </c>
      <c r="K33" s="8" t="s">
        <v>524</v>
      </c>
      <c r="M33" s="81"/>
      <c r="N33" s="74"/>
      <c r="O33" s="120"/>
      <c r="Q33" s="126"/>
    </row>
    <row r="34" spans="1:30" ht="30" hidden="1" customHeight="1">
      <c r="A34" s="40"/>
      <c r="B34" s="40"/>
      <c r="C34" s="40"/>
      <c r="D34" s="40"/>
      <c r="E34" s="40">
        <f>91.67*0.75</f>
        <v>68.752499999999998</v>
      </c>
      <c r="F34" s="40"/>
      <c r="G34" s="146">
        <f t="shared" si="1"/>
        <v>68.752499999999998</v>
      </c>
      <c r="H34" s="4"/>
      <c r="I34" s="4" t="s">
        <v>458</v>
      </c>
      <c r="J34" s="10">
        <v>43366</v>
      </c>
      <c r="K34" s="45" t="s">
        <v>459</v>
      </c>
      <c r="M34" s="80"/>
      <c r="N34" s="4"/>
      <c r="O34" s="120" t="s">
        <v>449</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525</v>
      </c>
      <c r="J35" s="10">
        <v>43439</v>
      </c>
      <c r="K35" s="8" t="s">
        <v>526</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527</v>
      </c>
      <c r="B41" s="247"/>
      <c r="C41" s="247"/>
      <c r="D41" s="247"/>
      <c r="E41" s="247"/>
      <c r="G41" s="2"/>
      <c r="J41" s="10"/>
      <c r="M41" s="80" t="s">
        <v>300</v>
      </c>
      <c r="Q41" s="107"/>
    </row>
    <row r="42" spans="1:30" s="2" customFormat="1" ht="13.5" customHeight="1">
      <c r="A42" s="248" t="s">
        <v>506</v>
      </c>
      <c r="B42" s="247"/>
      <c r="C42" s="247"/>
      <c r="D42" s="248"/>
      <c r="E42" s="248"/>
      <c r="J42" s="3"/>
      <c r="M42" s="77" t="s">
        <v>302</v>
      </c>
      <c r="Q42" s="107"/>
    </row>
    <row r="43" spans="1:30" s="2" customFormat="1" ht="13.5" customHeight="1">
      <c r="A43" s="247" t="s">
        <v>390</v>
      </c>
      <c r="B43" s="247"/>
      <c r="C43" s="247"/>
      <c r="D43" s="247"/>
      <c r="E43" s="247"/>
      <c r="J43" s="3"/>
      <c r="M43" s="77" t="s">
        <v>305</v>
      </c>
      <c r="Q43" s="172"/>
    </row>
    <row r="44" spans="1:30" s="2" customFormat="1" ht="13.5" customHeight="1">
      <c r="J44" s="3"/>
      <c r="M44" s="77"/>
      <c r="Q44" s="172"/>
    </row>
    <row r="45" spans="1:30" s="4" customFormat="1" ht="13.5" customHeight="1">
      <c r="A45" s="4" t="s">
        <v>372</v>
      </c>
      <c r="C45" s="6">
        <f>'[3]SUMMARY 2019.20'!$B$2</f>
        <v>43921</v>
      </c>
      <c r="D45" s="2"/>
      <c r="E45" s="2"/>
      <c r="F45" s="2"/>
      <c r="G45" s="2"/>
      <c r="H45" s="2"/>
      <c r="I45" s="2"/>
      <c r="J45" s="3"/>
      <c r="K45" s="2"/>
      <c r="M45" s="80"/>
      <c r="Q45" s="107"/>
    </row>
    <row r="46" spans="1:30" s="4" customFormat="1" ht="36.950000000000003" customHeight="1">
      <c r="A46" s="568" t="s">
        <v>308</v>
      </c>
      <c r="B46" s="568"/>
      <c r="C46" s="568"/>
      <c r="D46" s="568"/>
      <c r="E46" s="568"/>
      <c r="F46" s="568"/>
      <c r="G46" s="568"/>
      <c r="H46" s="568"/>
      <c r="I46" s="568"/>
      <c r="J46" s="568"/>
      <c r="K46" s="568"/>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309</v>
      </c>
      <c r="H48" s="7"/>
      <c r="I48" s="7" t="s">
        <v>310</v>
      </c>
      <c r="J48" s="9" t="s">
        <v>53</v>
      </c>
      <c r="K48" s="7" t="s">
        <v>311</v>
      </c>
      <c r="M48" s="80"/>
      <c r="Q48" s="107"/>
    </row>
    <row r="49" spans="1:67" s="41" customFormat="1" ht="25.9">
      <c r="A49" s="44"/>
      <c r="B49" s="44"/>
      <c r="C49" s="44">
        <v>71.75</v>
      </c>
      <c r="D49" s="44"/>
      <c r="E49" s="44"/>
      <c r="F49" s="44"/>
      <c r="G49" s="108">
        <f>SUM(A49:E49)</f>
        <v>71.75</v>
      </c>
      <c r="H49" s="4"/>
      <c r="I49" s="75" t="s">
        <v>528</v>
      </c>
      <c r="J49" s="10">
        <v>43640</v>
      </c>
      <c r="K49" s="45" t="s">
        <v>529</v>
      </c>
      <c r="M49" s="81"/>
      <c r="O49" s="120"/>
      <c r="Q49" s="126"/>
      <c r="BO49" s="4"/>
    </row>
    <row r="50" spans="1:67" s="4" customFormat="1" ht="13.15">
      <c r="E50" s="4">
        <f>712.58*N50</f>
        <v>641.322</v>
      </c>
      <c r="G50" s="2">
        <f>SUM(A50:E50)</f>
        <v>641.322</v>
      </c>
      <c r="I50" s="75" t="s">
        <v>530</v>
      </c>
      <c r="J50" s="50">
        <v>43729</v>
      </c>
      <c r="K50" s="8" t="s">
        <v>470</v>
      </c>
      <c r="L50" s="126"/>
      <c r="M50" s="4" t="s">
        <v>531</v>
      </c>
      <c r="N50" s="8">
        <f>'Conf Party reduction'!B1</f>
        <v>0.9</v>
      </c>
      <c r="P50" s="134"/>
    </row>
    <row r="51" spans="1:67" s="4" customFormat="1" ht="13.15">
      <c r="E51" s="4">
        <f>110/1.2*N51</f>
        <v>68.75</v>
      </c>
      <c r="G51" s="2">
        <f>SUM(A51:E51)</f>
        <v>68.75</v>
      </c>
      <c r="I51" s="75" t="s">
        <v>460</v>
      </c>
      <c r="J51" s="50">
        <v>43729</v>
      </c>
      <c r="K51" s="8" t="s">
        <v>461</v>
      </c>
      <c r="L51" s="126"/>
      <c r="M51" s="4" t="s">
        <v>462</v>
      </c>
      <c r="N51" s="8">
        <f>'Conf Party reduction'!B5</f>
        <v>0.75</v>
      </c>
      <c r="P51" s="134"/>
    </row>
    <row r="52" spans="1:67" s="4" customFormat="1" ht="13.15">
      <c r="A52" s="63"/>
      <c r="B52" s="63"/>
      <c r="C52" s="63"/>
      <c r="D52" s="44"/>
      <c r="E52" s="44">
        <f>210*N52</f>
        <v>189</v>
      </c>
      <c r="F52" s="62"/>
      <c r="G52" s="146">
        <f t="shared" ref="G52" si="3">SUM(A52:E52)</f>
        <v>189</v>
      </c>
      <c r="I52" s="75" t="s">
        <v>532</v>
      </c>
      <c r="J52" s="10">
        <v>43732</v>
      </c>
      <c r="K52" s="8" t="s">
        <v>533</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534</v>
      </c>
      <c r="B1" s="100"/>
      <c r="C1" s="100"/>
      <c r="D1" s="100"/>
      <c r="E1" s="100"/>
      <c r="J1" s="10"/>
      <c r="L1" s="128"/>
      <c r="M1" s="80" t="s">
        <v>300</v>
      </c>
    </row>
    <row r="2" spans="1:13" s="2" customFormat="1" ht="13.5" hidden="1" customHeight="1">
      <c r="A2" s="102" t="s">
        <v>535</v>
      </c>
      <c r="B2" s="100"/>
      <c r="C2" s="100"/>
      <c r="D2" s="102"/>
      <c r="E2" s="102"/>
      <c r="J2" s="3"/>
      <c r="L2" s="129"/>
      <c r="M2" s="77" t="s">
        <v>302</v>
      </c>
    </row>
    <row r="3" spans="1:13" s="2" customFormat="1" ht="13.5" hidden="1" customHeight="1">
      <c r="A3" s="100" t="s">
        <v>339</v>
      </c>
      <c r="B3" s="100"/>
      <c r="C3" s="100"/>
      <c r="D3" s="100"/>
      <c r="E3" s="100"/>
      <c r="J3" s="3"/>
      <c r="L3" s="129"/>
      <c r="M3" s="77" t="s">
        <v>305</v>
      </c>
    </row>
    <row r="4" spans="1:13" s="2" customFormat="1" ht="13.5" hidden="1" customHeight="1">
      <c r="J4" s="3"/>
      <c r="L4" s="129"/>
      <c r="M4" s="77"/>
    </row>
    <row r="5" spans="1:13" s="4" customFormat="1" ht="13.5" hidden="1" customHeight="1">
      <c r="A5" s="4" t="s">
        <v>372</v>
      </c>
      <c r="C5" s="6">
        <v>43190</v>
      </c>
      <c r="D5" s="2"/>
      <c r="E5" s="2"/>
      <c r="F5" s="2"/>
      <c r="G5" s="2"/>
      <c r="H5" s="2"/>
      <c r="I5" s="2"/>
      <c r="J5" s="3"/>
      <c r="K5" s="2"/>
      <c r="L5" s="128"/>
      <c r="M5" s="80"/>
    </row>
    <row r="6" spans="1:13" s="4" customFormat="1" ht="36.950000000000003" hidden="1" customHeight="1">
      <c r="A6" s="568" t="s">
        <v>308</v>
      </c>
      <c r="B6" s="568"/>
      <c r="C6" s="568"/>
      <c r="D6" s="568"/>
      <c r="E6" s="568"/>
      <c r="F6" s="568"/>
      <c r="G6" s="568"/>
      <c r="H6" s="568"/>
      <c r="I6" s="568"/>
      <c r="J6" s="568"/>
      <c r="K6" s="568"/>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309</v>
      </c>
      <c r="H8" s="58"/>
      <c r="I8" s="57" t="s">
        <v>310</v>
      </c>
      <c r="J8" s="56" t="s">
        <v>53</v>
      </c>
      <c r="K8" s="58" t="s">
        <v>311</v>
      </c>
      <c r="M8" s="79">
        <v>0</v>
      </c>
    </row>
    <row r="9" spans="1:13" ht="29.25" hidden="1" customHeight="1">
      <c r="A9" s="61"/>
      <c r="B9" s="61"/>
      <c r="C9" s="61">
        <v>86.1</v>
      </c>
      <c r="D9" s="61"/>
      <c r="E9" s="61"/>
      <c r="F9" s="57"/>
      <c r="G9" s="57">
        <f>SUM(A9:E9)</f>
        <v>86.1</v>
      </c>
      <c r="H9" s="58"/>
      <c r="I9" s="61" t="s">
        <v>536</v>
      </c>
      <c r="J9" s="65">
        <v>43021</v>
      </c>
      <c r="K9" s="127" t="s">
        <v>537</v>
      </c>
      <c r="L9" s="131" t="s">
        <v>345</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538</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539</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339</v>
      </c>
      <c r="B3" s="104"/>
      <c r="C3" s="104"/>
      <c r="D3" s="104"/>
      <c r="E3" s="295"/>
      <c r="I3" s="142"/>
      <c r="J3" s="3"/>
    </row>
    <row r="4" spans="1:15" s="2" customFormat="1" ht="13.5" hidden="1" customHeight="1">
      <c r="E4" s="108"/>
      <c r="I4" s="142"/>
      <c r="J4" s="3"/>
    </row>
    <row r="5" spans="1:15" s="4" customFormat="1" ht="13.5" hidden="1" customHeight="1">
      <c r="A5" s="4" t="s">
        <v>372</v>
      </c>
      <c r="C5" s="6">
        <v>43190</v>
      </c>
      <c r="D5" s="2"/>
      <c r="E5" s="108"/>
      <c r="F5" s="2"/>
      <c r="G5" s="2"/>
      <c r="H5" s="2"/>
      <c r="I5" s="142"/>
      <c r="J5" s="3"/>
      <c r="K5" s="2"/>
    </row>
    <row r="6" spans="1:15" s="4" customFormat="1" ht="36.950000000000003" hidden="1" customHeight="1">
      <c r="A6" s="568" t="s">
        <v>308</v>
      </c>
      <c r="B6" s="568"/>
      <c r="C6" s="568"/>
      <c r="D6" s="568"/>
      <c r="E6" s="568"/>
      <c r="F6" s="568"/>
      <c r="G6" s="568"/>
      <c r="H6" s="568"/>
      <c r="I6" s="568"/>
      <c r="J6" s="568"/>
      <c r="K6" s="568"/>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309</v>
      </c>
      <c r="H8" s="51"/>
      <c r="I8" s="51" t="s">
        <v>310</v>
      </c>
      <c r="J8" s="52" t="s">
        <v>53</v>
      </c>
      <c r="K8" s="51" t="s">
        <v>311</v>
      </c>
    </row>
    <row r="9" spans="1:15" ht="30" hidden="1" customHeight="1">
      <c r="A9" s="40"/>
      <c r="B9" s="40"/>
      <c r="C9" s="40">
        <f>139.9/2</f>
        <v>69.95</v>
      </c>
      <c r="D9" s="40"/>
      <c r="E9" s="40"/>
      <c r="F9" s="40"/>
      <c r="G9" s="146">
        <f t="shared" ref="G9:G15" si="0">SUM(A9:E9)</f>
        <v>69.95</v>
      </c>
      <c r="H9" s="4"/>
      <c r="I9" s="144" t="s">
        <v>444</v>
      </c>
      <c r="J9" s="50">
        <v>42993</v>
      </c>
      <c r="K9" s="45" t="s">
        <v>445</v>
      </c>
      <c r="L9" s="250" t="s">
        <v>540</v>
      </c>
      <c r="M9" s="4"/>
      <c r="N9" s="4"/>
    </row>
    <row r="10" spans="1:15" ht="30" hidden="1" customHeight="1">
      <c r="A10" s="62"/>
      <c r="B10" s="43"/>
      <c r="C10" s="62"/>
      <c r="D10" s="62"/>
      <c r="E10" s="40">
        <v>629.16</v>
      </c>
      <c r="F10" s="62"/>
      <c r="G10" s="146">
        <v>629.16</v>
      </c>
      <c r="H10" s="4"/>
      <c r="I10" s="144" t="s">
        <v>541</v>
      </c>
      <c r="J10" s="50">
        <v>43001</v>
      </c>
      <c r="K10" s="4" t="s">
        <v>542</v>
      </c>
      <c r="L10" s="250" t="s">
        <v>540</v>
      </c>
      <c r="M10" s="4"/>
    </row>
    <row r="11" spans="1:15" ht="30" hidden="1" customHeight="1">
      <c r="A11" s="62"/>
      <c r="B11" s="43"/>
      <c r="C11" s="40"/>
      <c r="D11" s="62"/>
      <c r="E11" s="40">
        <f>91.67*0.75</f>
        <v>68.752499999999998</v>
      </c>
      <c r="F11" s="62"/>
      <c r="G11" s="146">
        <f>SUM(A11:F11)</f>
        <v>68.752499999999998</v>
      </c>
      <c r="H11" s="4"/>
      <c r="I11" s="144" t="s">
        <v>543</v>
      </c>
      <c r="J11" s="50">
        <v>43002</v>
      </c>
      <c r="K11" s="4" t="s">
        <v>508</v>
      </c>
      <c r="L11" s="250" t="s">
        <v>449</v>
      </c>
      <c r="M11" s="4"/>
      <c r="N11" s="4"/>
    </row>
    <row r="12" spans="1:15" s="18" customFormat="1" ht="30" hidden="1" customHeight="1">
      <c r="A12" s="44"/>
      <c r="B12" s="44"/>
      <c r="C12" s="44"/>
      <c r="D12" s="44"/>
      <c r="E12" s="44">
        <v>290</v>
      </c>
      <c r="F12" s="44"/>
      <c r="G12" s="108">
        <f t="shared" si="0"/>
        <v>290</v>
      </c>
      <c r="H12" s="4"/>
      <c r="I12" s="144" t="s">
        <v>467</v>
      </c>
      <c r="J12" s="10">
        <v>43009</v>
      </c>
      <c r="K12" s="4" t="s">
        <v>509</v>
      </c>
      <c r="L12" s="250" t="s">
        <v>449</v>
      </c>
      <c r="M12" s="41"/>
      <c r="N12" s="246"/>
    </row>
    <row r="13" spans="1:15" ht="30" hidden="1" customHeight="1">
      <c r="A13" s="40"/>
      <c r="B13" s="40"/>
      <c r="C13" s="40">
        <f>-54/2</f>
        <v>-27</v>
      </c>
      <c r="D13" s="40"/>
      <c r="E13" s="40"/>
      <c r="F13" s="40"/>
      <c r="G13" s="146">
        <f t="shared" ref="G13" si="1">SUM(A13:E13)</f>
        <v>-27</v>
      </c>
      <c r="H13" s="4"/>
      <c r="I13" s="144" t="s">
        <v>450</v>
      </c>
      <c r="J13" s="50">
        <v>42997</v>
      </c>
      <c r="K13" s="45" t="s">
        <v>451</v>
      </c>
      <c r="L13" s="250" t="s">
        <v>449</v>
      </c>
      <c r="M13" s="4"/>
      <c r="N13" s="4"/>
    </row>
    <row r="14" spans="1:15" s="18" customFormat="1" ht="30" hidden="1" customHeight="1">
      <c r="A14" s="44"/>
      <c r="B14" s="44"/>
      <c r="C14" s="44"/>
      <c r="D14" s="44"/>
      <c r="E14" s="44">
        <v>395.83</v>
      </c>
      <c r="F14" s="44"/>
      <c r="G14" s="108">
        <f>SUM(A14:E14)</f>
        <v>395.83</v>
      </c>
      <c r="H14" s="4"/>
      <c r="I14" s="144" t="s">
        <v>510</v>
      </c>
      <c r="J14" s="10">
        <v>43009</v>
      </c>
      <c r="K14" s="4" t="s">
        <v>511</v>
      </c>
      <c r="L14" s="250" t="s">
        <v>449</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539</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371</v>
      </c>
      <c r="B20" s="291"/>
      <c r="C20" s="291"/>
      <c r="D20" s="291"/>
      <c r="E20" s="291"/>
      <c r="I20" s="142"/>
      <c r="J20" s="3"/>
    </row>
    <row r="21" spans="1:17" s="2" customFormat="1" ht="13.5" hidden="1" customHeight="1">
      <c r="I21" s="142"/>
      <c r="J21" s="3"/>
    </row>
    <row r="22" spans="1:17" s="4" customFormat="1" ht="13.5" hidden="1" customHeight="1">
      <c r="A22" s="4" t="s">
        <v>372</v>
      </c>
      <c r="C22" s="6">
        <f>'SUMMARY 2018.19'!B2</f>
        <v>43555</v>
      </c>
      <c r="D22" s="2"/>
      <c r="E22" s="2"/>
      <c r="F22" s="2"/>
      <c r="G22" s="2"/>
      <c r="H22" s="2"/>
      <c r="I22" s="142"/>
      <c r="J22" s="3"/>
      <c r="K22" s="2"/>
    </row>
    <row r="23" spans="1:17" s="4" customFormat="1" ht="36.950000000000003" hidden="1" customHeight="1">
      <c r="A23" s="568" t="s">
        <v>308</v>
      </c>
      <c r="B23" s="568"/>
      <c r="C23" s="568"/>
      <c r="D23" s="568"/>
      <c r="E23" s="568"/>
      <c r="F23" s="568"/>
      <c r="G23" s="568"/>
      <c r="H23" s="568"/>
      <c r="I23" s="568"/>
      <c r="J23" s="568"/>
      <c r="K23" s="568"/>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309</v>
      </c>
      <c r="H25" s="58"/>
      <c r="I25" s="51" t="s">
        <v>310</v>
      </c>
      <c r="J25" s="59" t="s">
        <v>53</v>
      </c>
      <c r="K25" s="51" t="s">
        <v>311</v>
      </c>
    </row>
    <row r="26" spans="1:17" s="4" customFormat="1" ht="20.25" hidden="1" customHeight="1">
      <c r="A26" s="194"/>
      <c r="B26" s="194"/>
      <c r="C26" s="194">
        <v>86.9</v>
      </c>
      <c r="D26" s="194"/>
      <c r="E26" s="194"/>
      <c r="F26" s="194"/>
      <c r="G26" s="2">
        <f>SUM(A26:E26)</f>
        <v>86.9</v>
      </c>
      <c r="I26" s="143" t="s">
        <v>373</v>
      </c>
      <c r="J26" s="10">
        <v>43264</v>
      </c>
      <c r="K26" s="287" t="s">
        <v>374</v>
      </c>
      <c r="L26" s="250"/>
      <c r="M26" s="250"/>
      <c r="Q26" s="250"/>
    </row>
    <row r="27" spans="1:17" s="4" customFormat="1" ht="20.25" hidden="1" customHeight="1">
      <c r="A27" s="194"/>
      <c r="B27" s="194"/>
      <c r="C27" s="194">
        <v>70.45</v>
      </c>
      <c r="D27" s="194"/>
      <c r="E27" s="194"/>
      <c r="F27" s="194"/>
      <c r="G27" s="2">
        <f t="shared" ref="G27:G29" si="3">SUM(A27:E27)</f>
        <v>70.45</v>
      </c>
      <c r="I27" s="143" t="s">
        <v>544</v>
      </c>
      <c r="J27" s="10">
        <v>43353</v>
      </c>
      <c r="K27" s="8" t="s">
        <v>545</v>
      </c>
      <c r="L27" s="250"/>
      <c r="Q27" s="250"/>
    </row>
    <row r="28" spans="1:17" s="4" customFormat="1" ht="20.25" hidden="1" customHeight="1">
      <c r="B28" s="5"/>
      <c r="C28" s="194">
        <f>173.8*0.75</f>
        <v>130.35000000000002</v>
      </c>
      <c r="G28" s="2">
        <f t="shared" si="3"/>
        <v>130.35000000000002</v>
      </c>
      <c r="I28" s="298" t="s">
        <v>454</v>
      </c>
      <c r="J28" s="10">
        <v>43364</v>
      </c>
      <c r="K28" s="4" t="s">
        <v>546</v>
      </c>
      <c r="L28" s="250"/>
    </row>
    <row r="29" spans="1:17" s="4" customFormat="1" ht="20.25" hidden="1" customHeight="1">
      <c r="B29" s="5"/>
      <c r="C29" s="194">
        <v>115.5</v>
      </c>
      <c r="G29" s="2">
        <f t="shared" si="3"/>
        <v>115.5</v>
      </c>
      <c r="I29" s="298" t="s">
        <v>547</v>
      </c>
      <c r="J29" s="10">
        <v>43374</v>
      </c>
      <c r="K29" s="8" t="s">
        <v>548</v>
      </c>
      <c r="L29" s="250"/>
    </row>
    <row r="30" spans="1:17" s="4" customFormat="1" ht="20.25" hidden="1" customHeight="1">
      <c r="A30" s="194"/>
      <c r="B30" s="194"/>
      <c r="C30" s="194"/>
      <c r="D30" s="194"/>
      <c r="E30" s="194">
        <v>62</v>
      </c>
      <c r="F30" s="194"/>
      <c r="G30" s="2">
        <f t="shared" ref="G30:G34" si="4">SUM(A30:E30)</f>
        <v>62</v>
      </c>
      <c r="I30" s="143" t="s">
        <v>468</v>
      </c>
      <c r="J30" s="10">
        <v>43353</v>
      </c>
      <c r="K30" s="8" t="s">
        <v>549</v>
      </c>
      <c r="L30" s="250"/>
      <c r="Q30" s="250"/>
    </row>
    <row r="31" spans="1:17" s="41" customFormat="1" ht="20.25" hidden="1" customHeight="1">
      <c r="A31" s="44"/>
      <c r="B31" s="44"/>
      <c r="C31" s="44"/>
      <c r="D31" s="44"/>
      <c r="E31" s="44">
        <f>240*0.75</f>
        <v>180</v>
      </c>
      <c r="F31" s="44"/>
      <c r="G31" s="108">
        <f t="shared" si="4"/>
        <v>180</v>
      </c>
      <c r="H31" s="4"/>
      <c r="I31" s="75" t="s">
        <v>456</v>
      </c>
      <c r="J31" s="10">
        <v>43365</v>
      </c>
      <c r="K31" s="8" t="s">
        <v>550</v>
      </c>
      <c r="L31" s="250"/>
      <c r="N31" s="246"/>
      <c r="O31" s="250"/>
      <c r="Q31" s="250"/>
    </row>
    <row r="32" spans="1:17" ht="20.25" hidden="1" customHeight="1">
      <c r="A32" s="40"/>
      <c r="B32" s="40"/>
      <c r="C32" s="40"/>
      <c r="D32" s="40"/>
      <c r="E32" s="40">
        <f>91.67*0.75</f>
        <v>68.752499999999998</v>
      </c>
      <c r="F32" s="40"/>
      <c r="G32" s="146">
        <f t="shared" si="4"/>
        <v>68.752499999999998</v>
      </c>
      <c r="H32" s="4"/>
      <c r="I32" s="4" t="s">
        <v>458</v>
      </c>
      <c r="J32" s="10">
        <v>43366</v>
      </c>
      <c r="K32" s="45" t="s">
        <v>551</v>
      </c>
      <c r="L32" s="250"/>
      <c r="M32" s="4"/>
      <c r="N32" s="4"/>
      <c r="O32" s="250"/>
    </row>
    <row r="33" spans="1:256" ht="20.25" hidden="1" customHeight="1">
      <c r="A33" s="40"/>
      <c r="B33" s="40"/>
      <c r="C33" s="40"/>
      <c r="D33" s="40"/>
      <c r="E33" s="40">
        <f>258.06/3</f>
        <v>86.02</v>
      </c>
      <c r="F33" s="40"/>
      <c r="G33" s="146">
        <f t="shared" si="4"/>
        <v>86.02</v>
      </c>
      <c r="H33" s="4"/>
      <c r="I33" s="4" t="s">
        <v>552</v>
      </c>
      <c r="J33" s="10">
        <v>43347</v>
      </c>
      <c r="K33" s="45" t="s">
        <v>553</v>
      </c>
      <c r="L33" s="250"/>
      <c r="M33" s="250" t="s">
        <v>382</v>
      </c>
      <c r="N33" s="4"/>
      <c r="O33" s="250"/>
    </row>
    <row r="34" spans="1:256" ht="20.25" hidden="1" customHeight="1">
      <c r="A34" s="40"/>
      <c r="B34" s="40"/>
      <c r="C34" s="40"/>
      <c r="D34" s="40"/>
      <c r="E34" s="40">
        <v>777.99</v>
      </c>
      <c r="F34" s="40"/>
      <c r="G34" s="146">
        <f t="shared" si="4"/>
        <v>777.99</v>
      </c>
      <c r="H34" s="4"/>
      <c r="I34" s="4" t="s">
        <v>552</v>
      </c>
      <c r="J34" s="10">
        <v>43373</v>
      </c>
      <c r="K34" s="45" t="s">
        <v>554</v>
      </c>
      <c r="L34" s="250"/>
      <c r="M34" s="250" t="s">
        <v>382</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539</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390</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372</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68" t="s">
        <v>308</v>
      </c>
      <c r="B43" s="568"/>
      <c r="C43" s="568"/>
      <c r="D43" s="568"/>
      <c r="E43" s="568"/>
      <c r="F43" s="568"/>
      <c r="G43" s="568"/>
      <c r="H43" s="568"/>
      <c r="I43" s="568"/>
      <c r="J43" s="568"/>
      <c r="K43" s="568"/>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309</v>
      </c>
      <c r="H45" s="58"/>
      <c r="I45" s="51" t="s">
        <v>310</v>
      </c>
      <c r="J45" s="51" t="s">
        <v>53</v>
      </c>
      <c r="K45" s="51" t="s">
        <v>311</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555</v>
      </c>
      <c r="J46" s="50">
        <v>43728</v>
      </c>
      <c r="K46" s="287" t="s">
        <v>556</v>
      </c>
      <c r="L46" s="250"/>
      <c r="N46" s="4">
        <f>'Conf Party reduction'!B5</f>
        <v>0.75</v>
      </c>
      <c r="Q46" s="250"/>
    </row>
    <row r="47" spans="1:256" s="4" customFormat="1" ht="13.15" hidden="1">
      <c r="E47" s="4">
        <f>110/1.2*N47</f>
        <v>68.75</v>
      </c>
      <c r="G47" s="2">
        <f t="shared" ref="G47:G50" si="7">SUM(A47:E47)</f>
        <v>68.75</v>
      </c>
      <c r="I47" s="240" t="s">
        <v>460</v>
      </c>
      <c r="J47" s="50">
        <v>43729</v>
      </c>
      <c r="K47" s="8" t="s">
        <v>461</v>
      </c>
      <c r="L47" s="250"/>
      <c r="M47" s="4" t="s">
        <v>462</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539</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401</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372</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68" t="s">
        <v>308</v>
      </c>
      <c r="B59" s="568"/>
      <c r="C59" s="568"/>
      <c r="D59" s="568"/>
      <c r="E59" s="568"/>
      <c r="F59" s="568"/>
      <c r="G59" s="568"/>
      <c r="H59" s="568"/>
      <c r="I59" s="568"/>
      <c r="J59" s="568"/>
      <c r="K59" s="568"/>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309</v>
      </c>
      <c r="H61" s="58"/>
      <c r="I61" s="51" t="s">
        <v>310</v>
      </c>
      <c r="J61" s="51" t="s">
        <v>53</v>
      </c>
      <c r="K61" s="51" t="s">
        <v>311</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555</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460</v>
      </c>
      <c r="J65" s="50"/>
      <c r="K65" s="8"/>
      <c r="L65" s="250"/>
      <c r="M65" s="4" t="s">
        <v>462</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557</v>
      </c>
      <c r="O65">
        <v>23.61</v>
      </c>
    </row>
    <row r="66" spans="3:15" ht="14.25">
      <c r="C66" s="151" t="s">
        <v>558</v>
      </c>
    </row>
    <row r="67" spans="3:15" ht="14.25">
      <c r="C67" s="151" t="s">
        <v>559</v>
      </c>
    </row>
    <row r="68" spans="3:15" ht="14.25">
      <c r="C68" s="151" t="s">
        <v>560</v>
      </c>
      <c r="O68">
        <v>5.97</v>
      </c>
    </row>
    <row r="69" spans="3:15" ht="14.25">
      <c r="C69" s="151" t="s">
        <v>561</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299</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301</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390</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372</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562</v>
      </c>
      <c r="B9" s="195"/>
      <c r="C9" s="195"/>
      <c r="E9" s="194">
        <f>48.02/7</f>
        <v>6.86</v>
      </c>
      <c r="F9" s="194"/>
      <c r="G9" s="2">
        <f>SUM(A9:E9)</f>
        <v>6.86</v>
      </c>
      <c r="I9" s="240" t="s">
        <v>394</v>
      </c>
      <c r="J9" s="50">
        <v>43709</v>
      </c>
      <c r="K9" s="8" t="s">
        <v>494</v>
      </c>
      <c r="L9" s="126"/>
      <c r="Q9" s="126"/>
    </row>
    <row r="10" spans="1:256" s="4" customFormat="1" ht="11.25" customHeight="1">
      <c r="E10" s="4">
        <f>58.65/4</f>
        <v>14.6625</v>
      </c>
      <c r="G10" s="2">
        <f>SUM(A10:E10)</f>
        <v>14.6625</v>
      </c>
      <c r="I10" s="240" t="s">
        <v>394</v>
      </c>
      <c r="J10" s="50">
        <v>43710</v>
      </c>
      <c r="K10" s="8" t="s">
        <v>494</v>
      </c>
      <c r="N10" s="8"/>
      <c r="P10" s="134"/>
    </row>
    <row r="12" spans="1:256">
      <c r="G12" t="s">
        <v>563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564</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565</v>
      </c>
      <c r="B1" s="100"/>
      <c r="C1" s="100"/>
      <c r="D1" s="100"/>
      <c r="E1" s="100"/>
      <c r="J1" s="3"/>
      <c r="K1" s="7"/>
      <c r="M1" s="77"/>
    </row>
    <row r="2" spans="1:65" s="2" customFormat="1" ht="29.25" hidden="1" customHeight="1">
      <c r="A2" s="569" t="s">
        <v>566</v>
      </c>
      <c r="B2" s="569"/>
      <c r="C2" s="569"/>
      <c r="D2" s="569"/>
      <c r="E2" s="569"/>
      <c r="J2" s="3"/>
      <c r="K2" s="7"/>
      <c r="M2" s="77"/>
    </row>
    <row r="3" spans="1:65" s="2" customFormat="1" ht="13.5" hidden="1" customHeight="1">
      <c r="A3" s="100" t="s">
        <v>339</v>
      </c>
      <c r="B3" s="100"/>
      <c r="C3" s="100"/>
      <c r="D3" s="100"/>
      <c r="E3" s="100"/>
      <c r="J3" s="3"/>
      <c r="K3" s="7"/>
      <c r="M3" s="77"/>
    </row>
    <row r="4" spans="1:65" s="2" customFormat="1" ht="13.5" hidden="1" customHeight="1">
      <c r="J4" s="3"/>
      <c r="K4" s="7"/>
      <c r="M4" s="77"/>
    </row>
    <row r="5" spans="1:65" s="2" customFormat="1" ht="13.5" hidden="1" customHeight="1">
      <c r="A5" s="4" t="s">
        <v>372</v>
      </c>
      <c r="B5" s="4"/>
      <c r="C5" s="6">
        <v>43190</v>
      </c>
      <c r="J5" s="3"/>
      <c r="K5" s="7"/>
      <c r="M5" s="77"/>
    </row>
    <row r="6" spans="1:65" s="2" customFormat="1" ht="36.950000000000003" hidden="1" customHeight="1">
      <c r="A6" s="568" t="s">
        <v>308</v>
      </c>
      <c r="B6" s="568"/>
      <c r="C6" s="568"/>
      <c r="D6" s="568"/>
      <c r="E6" s="568"/>
      <c r="F6" s="568"/>
      <c r="G6" s="568"/>
      <c r="H6" s="568"/>
      <c r="I6" s="568"/>
      <c r="J6" s="568"/>
      <c r="K6" s="568"/>
      <c r="M6" s="77"/>
    </row>
    <row r="7" spans="1:65" s="2" customFormat="1" ht="30" hidden="1" customHeight="1">
      <c r="J7" s="3"/>
      <c r="K7" s="7"/>
      <c r="M7" s="77"/>
    </row>
    <row r="8" spans="1:65" ht="39.4" hidden="1">
      <c r="A8" s="55" t="s">
        <v>207</v>
      </c>
      <c r="B8" s="55" t="s">
        <v>208</v>
      </c>
      <c r="C8" s="55" t="s">
        <v>209</v>
      </c>
      <c r="D8" s="55" t="s">
        <v>210</v>
      </c>
      <c r="E8" s="55" t="s">
        <v>212</v>
      </c>
      <c r="F8" s="55"/>
      <c r="G8" s="55" t="s">
        <v>309</v>
      </c>
      <c r="H8" s="55"/>
      <c r="I8" s="55" t="s">
        <v>310</v>
      </c>
      <c r="J8" s="56" t="s">
        <v>53</v>
      </c>
      <c r="K8" s="55" t="s">
        <v>311</v>
      </c>
      <c r="M8" s="80"/>
    </row>
    <row r="9" spans="1:65" s="16" customFormat="1" ht="26.25" hidden="1" customHeight="1">
      <c r="A9" s="44"/>
      <c r="B9" s="44"/>
      <c r="C9" s="4"/>
      <c r="D9" s="44">
        <v>2040.17</v>
      </c>
      <c r="E9" s="44"/>
      <c r="F9" s="44"/>
      <c r="G9" s="2">
        <f>SUM(A9:E9)</f>
        <v>2040.17</v>
      </c>
      <c r="H9" s="4"/>
      <c r="I9" s="4" t="s">
        <v>567</v>
      </c>
      <c r="J9" s="10">
        <v>42992</v>
      </c>
      <c r="K9" s="8" t="s">
        <v>568</v>
      </c>
      <c r="L9" s="4"/>
      <c r="M9" s="80"/>
      <c r="N9" s="4"/>
      <c r="O9" s="132" t="s">
        <v>351</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569</v>
      </c>
      <c r="J10" s="10">
        <v>43048</v>
      </c>
      <c r="K10" s="8" t="s">
        <v>570</v>
      </c>
      <c r="L10" s="4"/>
      <c r="M10" s="80"/>
      <c r="N10" s="4"/>
      <c r="O10" s="132" t="s">
        <v>351</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571</v>
      </c>
      <c r="J11" s="10">
        <v>43048</v>
      </c>
      <c r="K11" s="8" t="s">
        <v>572</v>
      </c>
      <c r="L11" s="4"/>
      <c r="M11" s="80"/>
      <c r="N11" s="4"/>
      <c r="O11" s="132" t="s">
        <v>351</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573</v>
      </c>
      <c r="J12" s="10">
        <v>43048</v>
      </c>
      <c r="K12" s="8" t="s">
        <v>574</v>
      </c>
      <c r="L12" s="4"/>
      <c r="M12" s="80"/>
      <c r="N12" s="4"/>
      <c r="O12" s="132" t="s">
        <v>351</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575</v>
      </c>
      <c r="J13" s="140">
        <v>43048</v>
      </c>
      <c r="K13" s="139" t="s">
        <v>576</v>
      </c>
      <c r="L13" s="139"/>
      <c r="M13" s="139"/>
      <c r="N13" s="4"/>
      <c r="O13" s="135" t="s">
        <v>366</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577</v>
      </c>
      <c r="J14" s="140">
        <v>43048</v>
      </c>
      <c r="K14" s="139" t="s">
        <v>578</v>
      </c>
      <c r="L14" s="139"/>
      <c r="M14" s="139"/>
      <c r="N14" s="4"/>
      <c r="O14" s="135" t="s">
        <v>366</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579</v>
      </c>
      <c r="J15" s="140">
        <v>42673</v>
      </c>
      <c r="K15" s="141" t="s">
        <v>580</v>
      </c>
      <c r="L15" s="139"/>
      <c r="M15" s="139"/>
      <c r="N15" s="4"/>
      <c r="O15" s="135" t="s">
        <v>366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581</v>
      </c>
      <c r="J16" s="140">
        <v>42677</v>
      </c>
      <c r="K16" s="141" t="s">
        <v>582</v>
      </c>
      <c r="L16" s="4"/>
      <c r="M16" s="80"/>
      <c r="N16" s="4"/>
      <c r="O16" s="135" t="s">
        <v>366</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583</v>
      </c>
      <c r="J17" s="10">
        <v>43144</v>
      </c>
      <c r="K17" s="8" t="s">
        <v>584</v>
      </c>
      <c r="L17" s="4"/>
      <c r="M17" s="80"/>
      <c r="N17" s="4"/>
      <c r="O17" s="156" t="s">
        <v>369</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585</v>
      </c>
      <c r="J18" s="10">
        <v>43139</v>
      </c>
      <c r="K18" s="8" t="s">
        <v>586</v>
      </c>
      <c r="L18" s="4"/>
      <c r="M18" s="80"/>
      <c r="N18" s="4"/>
      <c r="O18" s="156" t="s">
        <v>369</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565</v>
      </c>
      <c r="B23" s="158"/>
      <c r="C23" s="158"/>
      <c r="D23" s="158"/>
      <c r="E23" s="158"/>
      <c r="G23" s="2"/>
      <c r="J23" s="10"/>
      <c r="M23" s="166"/>
      <c r="N23" s="169"/>
    </row>
    <row r="24" spans="1:65" s="2" customFormat="1" ht="30" customHeight="1">
      <c r="A24" s="570" t="s">
        <v>587</v>
      </c>
      <c r="B24" s="570"/>
      <c r="C24" s="570"/>
      <c r="D24" s="570"/>
      <c r="E24" s="570"/>
      <c r="J24" s="3"/>
      <c r="M24" s="165"/>
    </row>
    <row r="25" spans="1:65" s="2" customFormat="1" ht="13.15">
      <c r="A25" s="158" t="s">
        <v>371</v>
      </c>
      <c r="B25" s="158"/>
      <c r="C25" s="158"/>
      <c r="D25" s="158"/>
      <c r="E25" s="158"/>
      <c r="J25" s="3"/>
      <c r="M25" s="165"/>
    </row>
    <row r="26" spans="1:65" s="2" customFormat="1" ht="13.5" customHeight="1">
      <c r="J26" s="3"/>
      <c r="K26" s="7"/>
      <c r="M26" s="77"/>
    </row>
    <row r="27" spans="1:65" s="2" customFormat="1" ht="13.5" customHeight="1">
      <c r="A27" s="4" t="s">
        <v>372</v>
      </c>
      <c r="B27" s="4"/>
      <c r="C27" s="6">
        <f>'SUMMARY 2018.19'!B2</f>
        <v>43555</v>
      </c>
      <c r="J27" s="3"/>
      <c r="K27" s="7"/>
      <c r="M27" s="77"/>
    </row>
    <row r="28" spans="1:65" s="2" customFormat="1" ht="36.950000000000003" customHeight="1">
      <c r="A28" s="568" t="s">
        <v>308</v>
      </c>
      <c r="B28" s="568"/>
      <c r="C28" s="568"/>
      <c r="D28" s="568"/>
      <c r="E28" s="568"/>
      <c r="F28" s="568"/>
      <c r="G28" s="568"/>
      <c r="H28" s="568"/>
      <c r="I28" s="568"/>
      <c r="J28" s="568"/>
      <c r="K28" s="568"/>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309</v>
      </c>
      <c r="H30" s="55"/>
      <c r="I30" s="55" t="s">
        <v>310</v>
      </c>
      <c r="J30" s="56" t="s">
        <v>53</v>
      </c>
      <c r="K30" s="55" t="s">
        <v>311</v>
      </c>
      <c r="M30" s="80"/>
    </row>
    <row r="31" spans="1:65" s="4" customFormat="1" ht="26.25" customHeight="1">
      <c r="A31" s="44"/>
      <c r="B31" s="44"/>
      <c r="C31" s="4">
        <v>14.2</v>
      </c>
      <c r="D31" s="44"/>
      <c r="E31" s="44"/>
      <c r="F31" s="44"/>
      <c r="G31" s="2">
        <f>SUM(A31:E31)</f>
        <v>14.2</v>
      </c>
      <c r="I31" s="4" t="s">
        <v>588</v>
      </c>
      <c r="J31" s="10">
        <v>43265</v>
      </c>
      <c r="K31" s="8" t="s">
        <v>589</v>
      </c>
      <c r="L31" s="126" t="s">
        <v>516</v>
      </c>
      <c r="M31" s="80"/>
      <c r="O31" s="132"/>
    </row>
    <row r="32" spans="1:65" s="64" customFormat="1" ht="18" customHeight="1">
      <c r="C32" s="64">
        <v>86.28</v>
      </c>
      <c r="G32" s="2">
        <f>SUM(A32:F32)</f>
        <v>86.28</v>
      </c>
      <c r="I32" s="5" t="s">
        <v>590</v>
      </c>
      <c r="J32" s="53">
        <v>43349</v>
      </c>
      <c r="K32" s="218" t="s">
        <v>591</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59">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60"/>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60"/>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60"/>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71" t="s">
        <v>592</v>
      </c>
      <c r="B1" s="572"/>
      <c r="C1" s="572"/>
      <c r="D1" s="572"/>
      <c r="E1" s="572"/>
      <c r="F1" s="572"/>
      <c r="G1" s="572"/>
      <c r="H1" s="572"/>
      <c r="I1" s="572"/>
      <c r="J1" s="572"/>
      <c r="K1" s="572"/>
      <c r="L1" s="572"/>
      <c r="M1" s="572"/>
      <c r="N1" s="572"/>
      <c r="O1" s="572"/>
      <c r="P1" s="572"/>
      <c r="Q1" s="572"/>
      <c r="R1" s="572"/>
      <c r="S1" s="572"/>
      <c r="T1" s="572"/>
      <c r="U1" s="572"/>
      <c r="V1" s="572"/>
      <c r="W1" s="572"/>
      <c r="X1" s="572"/>
      <c r="Y1" s="572"/>
      <c r="Z1" s="572"/>
      <c r="AA1" s="572"/>
      <c r="AB1" s="572"/>
      <c r="AC1" s="572"/>
      <c r="AD1" s="572"/>
      <c r="AE1" s="572"/>
      <c r="AF1" s="572"/>
      <c r="AG1" s="572"/>
      <c r="AH1" s="572"/>
      <c r="AI1" s="572"/>
      <c r="AJ1" s="572"/>
      <c r="AK1" s="572"/>
      <c r="AL1" s="572"/>
      <c r="AM1" s="572"/>
      <c r="AN1" s="572"/>
      <c r="AO1" s="572"/>
      <c r="AP1" s="572"/>
      <c r="AQ1" s="572"/>
      <c r="AR1" s="572"/>
      <c r="AS1" s="572"/>
      <c r="AT1" s="572"/>
      <c r="AU1" s="572"/>
      <c r="AV1" s="572"/>
      <c r="AW1" s="572"/>
      <c r="AX1" s="572"/>
      <c r="AY1" s="572"/>
      <c r="AZ1" s="572"/>
      <c r="BA1" s="572"/>
      <c r="BB1" s="572"/>
      <c r="BC1" s="572"/>
      <c r="BD1" s="572"/>
      <c r="BE1" s="572"/>
      <c r="BF1" s="572"/>
      <c r="BG1" s="572"/>
      <c r="BH1" s="572"/>
      <c r="BI1" s="572"/>
      <c r="BJ1" s="572"/>
      <c r="BK1" s="572"/>
      <c r="BL1" s="572"/>
      <c r="BM1" s="572"/>
      <c r="BN1" s="572"/>
      <c r="BO1" s="572"/>
      <c r="BP1" s="572"/>
      <c r="BQ1" s="572"/>
      <c r="BR1" s="572"/>
      <c r="BS1" s="572"/>
      <c r="BT1" s="572"/>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593</v>
      </c>
      <c r="C4" s="220" t="s">
        <v>594</v>
      </c>
      <c r="D4" s="220" t="s">
        <v>169</v>
      </c>
      <c r="E4" s="220" t="s">
        <v>595</v>
      </c>
      <c r="F4" s="220" t="s">
        <v>171</v>
      </c>
      <c r="G4" s="220">
        <v>931599103</v>
      </c>
      <c r="H4" s="220" t="s">
        <v>596</v>
      </c>
      <c r="I4" s="220" t="s">
        <v>597</v>
      </c>
      <c r="J4" s="220" t="s">
        <v>598</v>
      </c>
      <c r="K4" s="221" t="s">
        <v>5</v>
      </c>
      <c r="L4" s="221" t="s">
        <v>599</v>
      </c>
      <c r="M4" s="222" t="s">
        <v>183</v>
      </c>
      <c r="N4" s="222" t="s">
        <v>183</v>
      </c>
      <c r="O4" s="220" t="s">
        <v>600</v>
      </c>
      <c r="P4" s="220" t="s">
        <v>179</v>
      </c>
      <c r="Q4" s="220" t="s">
        <v>180</v>
      </c>
      <c r="R4" s="220" t="s">
        <v>601</v>
      </c>
      <c r="S4" s="220" t="s">
        <v>182</v>
      </c>
      <c r="T4" s="220" t="s">
        <v>183</v>
      </c>
      <c r="U4" s="220" t="s">
        <v>167</v>
      </c>
      <c r="V4" s="220" t="s">
        <v>183</v>
      </c>
      <c r="W4" s="220" t="s">
        <v>602</v>
      </c>
      <c r="X4" s="220" t="s">
        <v>603</v>
      </c>
      <c r="Y4" s="220"/>
      <c r="Z4" s="220"/>
      <c r="AA4" s="220"/>
      <c r="AB4" s="220"/>
      <c r="AC4" s="220" t="s">
        <v>604</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605</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606</v>
      </c>
      <c r="BX4" s="229">
        <v>0</v>
      </c>
      <c r="BY4" s="220"/>
      <c r="BZ4" s="220" t="s">
        <v>607</v>
      </c>
    </row>
    <row r="5" spans="1:78" s="230" customFormat="1" ht="14.25">
      <c r="A5" s="220" t="s">
        <v>166</v>
      </c>
      <c r="B5" s="220" t="s">
        <v>593</v>
      </c>
      <c r="C5" s="220" t="s">
        <v>594</v>
      </c>
      <c r="D5" s="220" t="s">
        <v>169</v>
      </c>
      <c r="E5" s="220" t="s">
        <v>595</v>
      </c>
      <c r="F5" s="220" t="s">
        <v>171</v>
      </c>
      <c r="G5" s="220">
        <v>931599128</v>
      </c>
      <c r="H5" s="220" t="s">
        <v>172</v>
      </c>
      <c r="I5" s="220" t="s">
        <v>173</v>
      </c>
      <c r="J5" s="220" t="s">
        <v>608</v>
      </c>
      <c r="K5" s="221" t="s">
        <v>5</v>
      </c>
      <c r="L5" s="221" t="s">
        <v>599</v>
      </c>
      <c r="M5" s="222" t="s">
        <v>183</v>
      </c>
      <c r="N5" s="222" t="s">
        <v>183</v>
      </c>
      <c r="O5" s="220" t="s">
        <v>600</v>
      </c>
      <c r="P5" s="220" t="s">
        <v>179</v>
      </c>
      <c r="Q5" s="220" t="s">
        <v>180</v>
      </c>
      <c r="R5" s="220" t="s">
        <v>601</v>
      </c>
      <c r="S5" s="220" t="s">
        <v>182</v>
      </c>
      <c r="T5" s="220" t="s">
        <v>183</v>
      </c>
      <c r="U5" s="220" t="s">
        <v>167</v>
      </c>
      <c r="V5" s="220" t="s">
        <v>183</v>
      </c>
      <c r="W5" s="220" t="s">
        <v>602</v>
      </c>
      <c r="X5" s="220" t="s">
        <v>603</v>
      </c>
      <c r="Y5" s="220"/>
      <c r="Z5" s="220"/>
      <c r="AA5" s="220"/>
      <c r="AB5" s="220"/>
      <c r="AC5" s="220" t="s">
        <v>609</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605</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610</v>
      </c>
      <c r="BX5" s="229">
        <v>0</v>
      </c>
      <c r="BY5" s="220"/>
      <c r="BZ5" s="220" t="s">
        <v>611</v>
      </c>
    </row>
    <row r="6" spans="1:78" s="230" customFormat="1" ht="14.25">
      <c r="A6" s="220" t="s">
        <v>166</v>
      </c>
      <c r="B6" s="220" t="s">
        <v>593</v>
      </c>
      <c r="C6" s="220" t="s">
        <v>594</v>
      </c>
      <c r="D6" s="220" t="s">
        <v>169</v>
      </c>
      <c r="E6" s="220" t="s">
        <v>595</v>
      </c>
      <c r="F6" s="220" t="s">
        <v>171</v>
      </c>
      <c r="G6" s="220">
        <v>931599154</v>
      </c>
      <c r="H6" s="220" t="s">
        <v>172</v>
      </c>
      <c r="I6" s="220" t="s">
        <v>173</v>
      </c>
      <c r="J6" s="220" t="s">
        <v>608</v>
      </c>
      <c r="K6" s="221" t="s">
        <v>5</v>
      </c>
      <c r="L6" s="221" t="s">
        <v>599</v>
      </c>
      <c r="M6" s="222" t="s">
        <v>183</v>
      </c>
      <c r="N6" s="222" t="s">
        <v>183</v>
      </c>
      <c r="O6" s="220" t="s">
        <v>600</v>
      </c>
      <c r="P6" s="220" t="s">
        <v>179</v>
      </c>
      <c r="Q6" s="220" t="s">
        <v>180</v>
      </c>
      <c r="R6" s="220" t="s">
        <v>601</v>
      </c>
      <c r="S6" s="220" t="s">
        <v>182</v>
      </c>
      <c r="T6" s="220" t="s">
        <v>183</v>
      </c>
      <c r="U6" s="220" t="s">
        <v>167</v>
      </c>
      <c r="V6" s="220" t="s">
        <v>183</v>
      </c>
      <c r="W6" s="220" t="s">
        <v>602</v>
      </c>
      <c r="X6" s="220" t="s">
        <v>603</v>
      </c>
      <c r="Y6" s="220"/>
      <c r="Z6" s="220"/>
      <c r="AA6" s="220"/>
      <c r="AB6" s="220"/>
      <c r="AC6" s="220" t="s">
        <v>612</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605</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610</v>
      </c>
      <c r="BX6" s="229">
        <v>0</v>
      </c>
      <c r="BY6" s="220"/>
      <c r="BZ6" s="220" t="s">
        <v>611</v>
      </c>
    </row>
    <row r="7" spans="1:78" s="230" customFormat="1" ht="14.25">
      <c r="A7" s="220" t="s">
        <v>166</v>
      </c>
      <c r="B7" s="220" t="s">
        <v>593</v>
      </c>
      <c r="C7" s="220" t="s">
        <v>594</v>
      </c>
      <c r="D7" s="220" t="s">
        <v>169</v>
      </c>
      <c r="E7" s="220" t="s">
        <v>595</v>
      </c>
      <c r="F7" s="220" t="s">
        <v>171</v>
      </c>
      <c r="G7" s="220">
        <v>931599168</v>
      </c>
      <c r="H7" s="220" t="s">
        <v>172</v>
      </c>
      <c r="I7" s="220" t="s">
        <v>173</v>
      </c>
      <c r="J7" s="220" t="s">
        <v>608</v>
      </c>
      <c r="K7" s="221" t="s">
        <v>5</v>
      </c>
      <c r="L7" s="221" t="s">
        <v>599</v>
      </c>
      <c r="M7" s="222" t="s">
        <v>183</v>
      </c>
      <c r="N7" s="222" t="s">
        <v>183</v>
      </c>
      <c r="O7" s="220" t="s">
        <v>600</v>
      </c>
      <c r="P7" s="220" t="s">
        <v>179</v>
      </c>
      <c r="Q7" s="220" t="s">
        <v>180</v>
      </c>
      <c r="R7" s="220" t="s">
        <v>601</v>
      </c>
      <c r="S7" s="220" t="s">
        <v>182</v>
      </c>
      <c r="T7" s="220" t="s">
        <v>183</v>
      </c>
      <c r="U7" s="220" t="s">
        <v>167</v>
      </c>
      <c r="V7" s="220" t="s">
        <v>183</v>
      </c>
      <c r="W7" s="220" t="s">
        <v>602</v>
      </c>
      <c r="X7" s="220" t="s">
        <v>603</v>
      </c>
      <c r="Y7" s="220"/>
      <c r="Z7" s="220"/>
      <c r="AA7" s="220"/>
      <c r="AB7" s="220"/>
      <c r="AC7" s="220" t="s">
        <v>613</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605</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610</v>
      </c>
      <c r="BX7" s="229">
        <v>0</v>
      </c>
      <c r="BY7" s="220"/>
      <c r="BZ7" s="220" t="s">
        <v>611</v>
      </c>
    </row>
    <row r="8" spans="1:78" s="230" customFormat="1" ht="19.5" customHeight="1">
      <c r="A8" s="220" t="s">
        <v>166</v>
      </c>
      <c r="B8" s="220" t="s">
        <v>593</v>
      </c>
      <c r="C8" s="220" t="s">
        <v>594</v>
      </c>
      <c r="D8" s="220" t="s">
        <v>169</v>
      </c>
      <c r="E8" s="220" t="s">
        <v>595</v>
      </c>
      <c r="F8" s="220" t="s">
        <v>171</v>
      </c>
      <c r="G8" s="220">
        <v>931599213</v>
      </c>
      <c r="H8" s="220" t="s">
        <v>172</v>
      </c>
      <c r="I8" s="220" t="s">
        <v>173</v>
      </c>
      <c r="J8" s="220" t="s">
        <v>608</v>
      </c>
      <c r="K8" s="221" t="s">
        <v>5</v>
      </c>
      <c r="L8" s="221" t="s">
        <v>599</v>
      </c>
      <c r="M8" s="222" t="s">
        <v>183</v>
      </c>
      <c r="N8" s="222" t="s">
        <v>183</v>
      </c>
      <c r="O8" s="220" t="s">
        <v>600</v>
      </c>
      <c r="P8" s="220" t="s">
        <v>179</v>
      </c>
      <c r="Q8" s="220" t="s">
        <v>180</v>
      </c>
      <c r="R8" s="220" t="s">
        <v>601</v>
      </c>
      <c r="S8" s="220" t="s">
        <v>182</v>
      </c>
      <c r="T8" s="220" t="s">
        <v>183</v>
      </c>
      <c r="U8" s="220" t="s">
        <v>167</v>
      </c>
      <c r="V8" s="220" t="s">
        <v>183</v>
      </c>
      <c r="W8" s="220" t="s">
        <v>602</v>
      </c>
      <c r="X8" s="220" t="s">
        <v>603</v>
      </c>
      <c r="Y8" s="220"/>
      <c r="Z8" s="220"/>
      <c r="AA8" s="220"/>
      <c r="AB8" s="220"/>
      <c r="AC8" s="220" t="s">
        <v>614</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605</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610</v>
      </c>
      <c r="BX8" s="229">
        <v>0</v>
      </c>
      <c r="BY8" s="220" t="s">
        <v>615</v>
      </c>
      <c r="BZ8" s="220" t="s">
        <v>611</v>
      </c>
    </row>
    <row r="9" spans="1:78" s="230" customFormat="1" ht="19.5" customHeight="1">
      <c r="A9" s="220" t="s">
        <v>166</v>
      </c>
      <c r="B9" s="220" t="s">
        <v>593</v>
      </c>
      <c r="C9" s="220" t="s">
        <v>594</v>
      </c>
      <c r="D9" s="220" t="s">
        <v>169</v>
      </c>
      <c r="E9" s="220" t="s">
        <v>595</v>
      </c>
      <c r="F9" s="220" t="s">
        <v>171</v>
      </c>
      <c r="G9" s="220">
        <v>931599352</v>
      </c>
      <c r="H9" s="220" t="s">
        <v>172</v>
      </c>
      <c r="I9" s="220" t="s">
        <v>173</v>
      </c>
      <c r="J9" s="220" t="s">
        <v>608</v>
      </c>
      <c r="K9" s="221" t="s">
        <v>5</v>
      </c>
      <c r="L9" s="221" t="s">
        <v>599</v>
      </c>
      <c r="M9" s="222" t="s">
        <v>183</v>
      </c>
      <c r="N9" s="222" t="s">
        <v>183</v>
      </c>
      <c r="O9" s="220" t="s">
        <v>600</v>
      </c>
      <c r="P9" s="220" t="s">
        <v>179</v>
      </c>
      <c r="Q9" s="220" t="s">
        <v>180</v>
      </c>
      <c r="R9" s="220" t="s">
        <v>601</v>
      </c>
      <c r="S9" s="220" t="s">
        <v>182</v>
      </c>
      <c r="T9" s="220" t="s">
        <v>183</v>
      </c>
      <c r="U9" s="220" t="s">
        <v>167</v>
      </c>
      <c r="V9" s="220" t="s">
        <v>183</v>
      </c>
      <c r="W9" s="220" t="s">
        <v>602</v>
      </c>
      <c r="X9" s="220" t="s">
        <v>603</v>
      </c>
      <c r="Y9" s="220"/>
      <c r="Z9" s="220"/>
      <c r="AA9" s="220"/>
      <c r="AB9" s="220"/>
      <c r="AC9" s="220" t="s">
        <v>616</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605</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610</v>
      </c>
      <c r="BX9" s="229">
        <v>0</v>
      </c>
      <c r="BY9" s="220" t="s">
        <v>617</v>
      </c>
      <c r="BZ9" s="220" t="s">
        <v>611</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618</v>
      </c>
      <c r="B3" s="174" t="s">
        <v>619</v>
      </c>
      <c r="C3" s="174" t="s">
        <v>620</v>
      </c>
      <c r="D3" s="174" t="s">
        <v>621</v>
      </c>
      <c r="E3" s="174" t="s">
        <v>622</v>
      </c>
      <c r="F3" s="175" t="s">
        <v>623</v>
      </c>
      <c r="G3" s="174" t="s">
        <v>624</v>
      </c>
      <c r="H3" s="174" t="s">
        <v>625</v>
      </c>
      <c r="I3" s="174" t="s">
        <v>626</v>
      </c>
      <c r="J3" s="174" t="s">
        <v>627</v>
      </c>
      <c r="K3" s="174" t="s">
        <v>628</v>
      </c>
      <c r="L3" s="174" t="s">
        <v>629</v>
      </c>
      <c r="M3" s="174" t="s">
        <v>630</v>
      </c>
      <c r="N3" s="174" t="s">
        <v>631</v>
      </c>
      <c r="O3" s="175" t="s">
        <v>632</v>
      </c>
      <c r="P3" s="176" t="s">
        <v>633</v>
      </c>
      <c r="Q3" s="175" t="s">
        <v>634</v>
      </c>
      <c r="R3" s="174" t="s">
        <v>635</v>
      </c>
      <c r="S3" s="174" t="s">
        <v>636</v>
      </c>
      <c r="T3" s="174" t="s">
        <v>637</v>
      </c>
      <c r="U3" s="175" t="s">
        <v>638</v>
      </c>
      <c r="V3" s="175" t="s">
        <v>639</v>
      </c>
      <c r="W3" s="174" t="s">
        <v>640</v>
      </c>
      <c r="X3" s="174" t="s">
        <v>641</v>
      </c>
      <c r="Y3" s="174" t="s">
        <v>642</v>
      </c>
      <c r="Z3" s="175" t="s">
        <v>643</v>
      </c>
      <c r="AA3" s="175" t="s">
        <v>644</v>
      </c>
      <c r="AB3" s="175" t="s">
        <v>645</v>
      </c>
      <c r="AC3" s="175" t="s">
        <v>646</v>
      </c>
      <c r="AD3" s="175" t="s">
        <v>647</v>
      </c>
      <c r="AE3" s="175" t="s">
        <v>648</v>
      </c>
      <c r="AF3" s="175" t="s">
        <v>649</v>
      </c>
      <c r="AG3" s="175" t="s">
        <v>650</v>
      </c>
      <c r="AH3" s="175" t="s">
        <v>651</v>
      </c>
      <c r="AI3" s="175" t="s">
        <v>652</v>
      </c>
      <c r="AJ3" s="177" t="s">
        <v>653</v>
      </c>
      <c r="AK3" s="177" t="s">
        <v>654</v>
      </c>
      <c r="AL3" s="177" t="s">
        <v>655</v>
      </c>
      <c r="AM3" s="177" t="s">
        <v>656</v>
      </c>
      <c r="AN3" s="177" t="s">
        <v>657</v>
      </c>
      <c r="AO3" s="177" t="s">
        <v>658</v>
      </c>
      <c r="AP3" s="177" t="s">
        <v>659</v>
      </c>
      <c r="AQ3" s="177" t="s">
        <v>660</v>
      </c>
      <c r="AR3" s="177" t="s">
        <v>661</v>
      </c>
      <c r="AS3" s="177" t="s">
        <v>662</v>
      </c>
      <c r="AT3" s="177" t="s">
        <v>663</v>
      </c>
      <c r="AU3" s="177" t="s">
        <v>664</v>
      </c>
      <c r="AV3" s="177" t="s">
        <v>665</v>
      </c>
      <c r="AW3" s="177" t="s">
        <v>666</v>
      </c>
      <c r="AX3" s="177" t="s">
        <v>667</v>
      </c>
      <c r="AY3" s="177" t="s">
        <v>668</v>
      </c>
      <c r="AZ3" s="177" t="s">
        <v>669</v>
      </c>
      <c r="BA3" s="177" t="s">
        <v>670</v>
      </c>
    </row>
    <row r="4" spans="1:53" s="203" customFormat="1" ht="14.25">
      <c r="A4" s="197" t="s">
        <v>169</v>
      </c>
      <c r="B4" s="197" t="s">
        <v>671</v>
      </c>
      <c r="C4" s="198">
        <v>43328</v>
      </c>
      <c r="D4" s="199"/>
      <c r="E4" s="197" t="s">
        <v>672</v>
      </c>
      <c r="F4" s="197" t="s">
        <v>673</v>
      </c>
      <c r="G4" s="197" t="s">
        <v>674</v>
      </c>
      <c r="H4" s="197" t="s">
        <v>675</v>
      </c>
      <c r="I4" s="197" t="s">
        <v>676</v>
      </c>
      <c r="J4" s="197" t="s">
        <v>677</v>
      </c>
      <c r="K4" s="197" t="s">
        <v>678</v>
      </c>
      <c r="L4" s="197" t="s">
        <v>679</v>
      </c>
      <c r="M4" s="197" t="s">
        <v>680</v>
      </c>
      <c r="N4" s="197" t="s">
        <v>681</v>
      </c>
      <c r="O4" s="199"/>
      <c r="P4" s="205">
        <v>43354</v>
      </c>
      <c r="Q4" s="197" t="s">
        <v>682</v>
      </c>
      <c r="R4" s="197" t="s">
        <v>683</v>
      </c>
      <c r="S4" s="197" t="s">
        <v>684</v>
      </c>
      <c r="T4" s="197" t="s">
        <v>685</v>
      </c>
      <c r="U4" s="199"/>
      <c r="V4" s="197" t="s">
        <v>686</v>
      </c>
      <c r="W4" s="197" t="s">
        <v>687</v>
      </c>
      <c r="X4" s="200">
        <v>0</v>
      </c>
      <c r="Y4" s="201">
        <v>0</v>
      </c>
      <c r="Z4" s="201">
        <v>0</v>
      </c>
      <c r="AA4" s="201">
        <v>0</v>
      </c>
      <c r="AB4" s="197" t="s">
        <v>688</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689</v>
      </c>
      <c r="AS4" s="197" t="s">
        <v>689</v>
      </c>
      <c r="AT4" s="197" t="s">
        <v>689</v>
      </c>
      <c r="AU4" s="197" t="s">
        <v>689</v>
      </c>
      <c r="AV4" s="199"/>
      <c r="AW4" s="199"/>
      <c r="AX4" s="197" t="s">
        <v>436</v>
      </c>
      <c r="AY4" s="197" t="s">
        <v>690</v>
      </c>
      <c r="AZ4" s="199"/>
      <c r="BA4" s="199"/>
    </row>
    <row r="5" spans="1:53" s="203" customFormat="1" ht="14.25">
      <c r="A5" s="197" t="s">
        <v>169</v>
      </c>
      <c r="B5" s="197" t="s">
        <v>671</v>
      </c>
      <c r="C5" s="198">
        <v>43328</v>
      </c>
      <c r="D5" s="199"/>
      <c r="E5" s="197" t="s">
        <v>672</v>
      </c>
      <c r="F5" s="197" t="s">
        <v>673</v>
      </c>
      <c r="G5" s="197" t="s">
        <v>674</v>
      </c>
      <c r="H5" s="197" t="s">
        <v>675</v>
      </c>
      <c r="I5" s="197" t="s">
        <v>676</v>
      </c>
      <c r="J5" s="197" t="s">
        <v>677</v>
      </c>
      <c r="K5" s="197" t="s">
        <v>678</v>
      </c>
      <c r="L5" s="197" t="s">
        <v>679</v>
      </c>
      <c r="M5" s="197" t="s">
        <v>680</v>
      </c>
      <c r="N5" s="197" t="s">
        <v>681</v>
      </c>
      <c r="O5" s="199"/>
      <c r="P5" s="205">
        <v>43354</v>
      </c>
      <c r="Q5" s="197" t="s">
        <v>682</v>
      </c>
      <c r="R5" s="197" t="s">
        <v>683</v>
      </c>
      <c r="S5" s="197" t="s">
        <v>691</v>
      </c>
      <c r="T5" s="197" t="s">
        <v>692</v>
      </c>
      <c r="U5" s="199"/>
      <c r="V5" s="197" t="s">
        <v>686</v>
      </c>
      <c r="W5" s="197" t="s">
        <v>691</v>
      </c>
      <c r="X5" s="200">
        <v>0</v>
      </c>
      <c r="Y5" s="201">
        <v>0</v>
      </c>
      <c r="Z5" s="201">
        <v>0</v>
      </c>
      <c r="AA5" s="201">
        <v>0</v>
      </c>
      <c r="AB5" s="197" t="s">
        <v>688</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689</v>
      </c>
      <c r="AS5" s="197" t="s">
        <v>689</v>
      </c>
      <c r="AT5" s="197" t="s">
        <v>689</v>
      </c>
      <c r="AU5" s="197" t="s">
        <v>689</v>
      </c>
      <c r="AV5" s="199"/>
      <c r="AW5" s="199"/>
      <c r="AX5" s="197" t="s">
        <v>436</v>
      </c>
      <c r="AY5" s="197" t="s">
        <v>690</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565</v>
      </c>
      <c r="B1" s="158"/>
      <c r="C1" s="158"/>
      <c r="D1" s="158"/>
      <c r="E1" s="158"/>
      <c r="G1" s="2"/>
      <c r="J1" s="10"/>
      <c r="M1" s="166"/>
      <c r="N1" s="169"/>
    </row>
    <row r="2" spans="1:14" s="2" customFormat="1" ht="30" customHeight="1">
      <c r="A2" s="570" t="s">
        <v>566</v>
      </c>
      <c r="B2" s="570"/>
      <c r="C2" s="570"/>
      <c r="D2" s="570"/>
      <c r="E2" s="570"/>
      <c r="J2" s="3"/>
      <c r="M2" s="165"/>
    </row>
    <row r="3" spans="1:14" s="2" customFormat="1" ht="13.15">
      <c r="A3" s="158" t="s">
        <v>371</v>
      </c>
      <c r="B3" s="158"/>
      <c r="C3" s="158"/>
      <c r="D3" s="158"/>
      <c r="E3" s="158"/>
      <c r="J3" s="3"/>
      <c r="M3" s="165"/>
    </row>
    <row r="4" spans="1:14" s="2" customFormat="1" ht="13.5" customHeight="1">
      <c r="J4" s="3"/>
      <c r="K4" s="7"/>
      <c r="M4" s="77"/>
    </row>
    <row r="5" spans="1:14" s="2" customFormat="1" ht="13.5" customHeight="1">
      <c r="A5" s="4" t="s">
        <v>372</v>
      </c>
      <c r="B5" s="4"/>
      <c r="C5" s="6"/>
      <c r="J5" s="3"/>
      <c r="K5" s="7"/>
      <c r="M5" s="77"/>
    </row>
    <row r="6" spans="1:14" s="2" customFormat="1" ht="36.950000000000003" customHeight="1">
      <c r="A6" s="568" t="s">
        <v>308</v>
      </c>
      <c r="B6" s="568"/>
      <c r="C6" s="568"/>
      <c r="D6" s="568"/>
      <c r="E6" s="568"/>
      <c r="F6" s="568"/>
      <c r="G6" s="568"/>
      <c r="H6" s="568"/>
      <c r="I6" s="568"/>
      <c r="J6" s="568"/>
      <c r="K6" s="568"/>
      <c r="M6" s="77"/>
    </row>
    <row r="7" spans="1:14" s="2" customFormat="1" ht="30" customHeight="1">
      <c r="J7" s="3"/>
      <c r="K7" s="7"/>
      <c r="M7" s="77"/>
    </row>
    <row r="8" spans="1:14" s="41" customFormat="1" ht="39.4">
      <c r="A8" s="55" t="s">
        <v>207</v>
      </c>
      <c r="B8" s="55" t="s">
        <v>208</v>
      </c>
      <c r="C8" s="55" t="s">
        <v>209</v>
      </c>
      <c r="D8" s="55" t="s">
        <v>210</v>
      </c>
      <c r="E8" s="55" t="s">
        <v>212</v>
      </c>
      <c r="F8" s="55"/>
      <c r="G8" s="57" t="s">
        <v>309</v>
      </c>
      <c r="H8" s="55"/>
      <c r="I8" s="55" t="s">
        <v>310</v>
      </c>
      <c r="J8" s="56" t="s">
        <v>53</v>
      </c>
      <c r="K8" s="55" t="s">
        <v>311</v>
      </c>
      <c r="M8" s="80"/>
    </row>
    <row r="10" spans="1:14" ht="13.15">
      <c r="C10">
        <v>86.28</v>
      </c>
      <c r="G10">
        <f>SUM(A10:F10)</f>
        <v>86.28</v>
      </c>
      <c r="I10" s="30" t="s">
        <v>590</v>
      </c>
      <c r="J10" s="213">
        <v>43349</v>
      </c>
      <c r="K10" s="215" t="s">
        <v>591</v>
      </c>
      <c r="M10" s="214"/>
    </row>
    <row r="20" spans="1:53">
      <c r="A20" s="174" t="s">
        <v>618</v>
      </c>
      <c r="B20" s="174" t="s">
        <v>619</v>
      </c>
      <c r="C20" s="174" t="s">
        <v>620</v>
      </c>
      <c r="D20" s="174" t="s">
        <v>621</v>
      </c>
      <c r="E20" s="174" t="s">
        <v>622</v>
      </c>
      <c r="F20" s="175" t="s">
        <v>623</v>
      </c>
      <c r="G20" s="176" t="s">
        <v>624</v>
      </c>
      <c r="H20" s="174" t="s">
        <v>625</v>
      </c>
      <c r="I20" s="174" t="s">
        <v>626</v>
      </c>
      <c r="J20" s="174" t="s">
        <v>627</v>
      </c>
      <c r="K20" s="174" t="s">
        <v>628</v>
      </c>
      <c r="L20" s="174" t="s">
        <v>629</v>
      </c>
      <c r="M20" s="174" t="s">
        <v>630</v>
      </c>
      <c r="N20" s="174" t="s">
        <v>631</v>
      </c>
      <c r="O20" s="175" t="s">
        <v>632</v>
      </c>
      <c r="P20" s="174" t="s">
        <v>633</v>
      </c>
      <c r="Q20" s="175" t="s">
        <v>634</v>
      </c>
      <c r="R20" s="174" t="s">
        <v>635</v>
      </c>
      <c r="S20" s="174" t="s">
        <v>636</v>
      </c>
      <c r="T20" s="174" t="s">
        <v>637</v>
      </c>
      <c r="U20" s="175" t="s">
        <v>638</v>
      </c>
      <c r="V20" s="175" t="s">
        <v>639</v>
      </c>
      <c r="W20" s="174" t="s">
        <v>640</v>
      </c>
      <c r="X20" s="174" t="s">
        <v>641</v>
      </c>
      <c r="Y20" s="174" t="s">
        <v>642</v>
      </c>
      <c r="Z20" s="175" t="s">
        <v>643</v>
      </c>
      <c r="AA20" s="175" t="s">
        <v>644</v>
      </c>
      <c r="AB20" s="175" t="s">
        <v>645</v>
      </c>
      <c r="AC20" s="175" t="s">
        <v>646</v>
      </c>
      <c r="AD20" s="175" t="s">
        <v>647</v>
      </c>
      <c r="AE20" s="175" t="s">
        <v>648</v>
      </c>
      <c r="AF20" s="175" t="s">
        <v>649</v>
      </c>
      <c r="AG20" s="175" t="s">
        <v>650</v>
      </c>
      <c r="AH20" s="175" t="s">
        <v>651</v>
      </c>
      <c r="AI20" s="175" t="s">
        <v>652</v>
      </c>
      <c r="AJ20" s="177" t="s">
        <v>653</v>
      </c>
      <c r="AK20" s="177" t="s">
        <v>654</v>
      </c>
      <c r="AL20" s="177" t="s">
        <v>655</v>
      </c>
      <c r="AM20" s="177" t="s">
        <v>656</v>
      </c>
      <c r="AN20" s="177" t="s">
        <v>657</v>
      </c>
      <c r="AO20" s="177" t="s">
        <v>658</v>
      </c>
      <c r="AP20" s="177" t="s">
        <v>659</v>
      </c>
      <c r="AQ20" s="211" t="s">
        <v>660</v>
      </c>
      <c r="AR20" s="177" t="s">
        <v>661</v>
      </c>
      <c r="AS20" s="177" t="s">
        <v>662</v>
      </c>
      <c r="AT20" s="177" t="s">
        <v>663</v>
      </c>
      <c r="AU20" s="177" t="s">
        <v>664</v>
      </c>
      <c r="AV20" s="177" t="s">
        <v>665</v>
      </c>
      <c r="AW20" s="177" t="s">
        <v>666</v>
      </c>
      <c r="AX20" s="177" t="s">
        <v>667</v>
      </c>
      <c r="AY20" s="177" t="s">
        <v>668</v>
      </c>
      <c r="AZ20" s="177" t="s">
        <v>669</v>
      </c>
      <c r="BA20" s="177" t="s">
        <v>670</v>
      </c>
    </row>
    <row r="21" spans="1:53" s="204" customFormat="1">
      <c r="A21" s="193" t="s">
        <v>169</v>
      </c>
      <c r="B21" s="193" t="s">
        <v>693</v>
      </c>
      <c r="C21" s="192">
        <v>43342</v>
      </c>
      <c r="D21" s="207"/>
      <c r="E21" s="193" t="s">
        <v>694</v>
      </c>
      <c r="F21" s="193" t="s">
        <v>695</v>
      </c>
      <c r="G21" s="193" t="s">
        <v>696</v>
      </c>
      <c r="H21" s="193" t="s">
        <v>697</v>
      </c>
      <c r="I21" s="193" t="s">
        <v>698</v>
      </c>
      <c r="J21" s="193" t="s">
        <v>677</v>
      </c>
      <c r="K21" s="193" t="s">
        <v>699</v>
      </c>
      <c r="L21" s="207"/>
      <c r="M21" s="193" t="s">
        <v>700</v>
      </c>
      <c r="N21" s="207"/>
      <c r="O21" s="207"/>
      <c r="P21" s="192">
        <v>43349</v>
      </c>
      <c r="Q21" s="193" t="s">
        <v>701</v>
      </c>
      <c r="R21" s="193" t="s">
        <v>702</v>
      </c>
      <c r="S21" s="193" t="s">
        <v>703</v>
      </c>
      <c r="T21" s="193" t="s">
        <v>704</v>
      </c>
      <c r="U21" s="193" t="s">
        <v>705</v>
      </c>
      <c r="V21" s="207"/>
      <c r="W21" s="193" t="s">
        <v>706</v>
      </c>
      <c r="X21" s="208">
        <v>0</v>
      </c>
      <c r="Y21" s="209">
        <v>0</v>
      </c>
      <c r="Z21" s="209">
        <v>0</v>
      </c>
      <c r="AA21" s="209">
        <v>0</v>
      </c>
      <c r="AB21" s="193" t="s">
        <v>688</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689</v>
      </c>
      <c r="AS21" s="193" t="s">
        <v>689</v>
      </c>
      <c r="AT21" s="193" t="s">
        <v>689</v>
      </c>
      <c r="AU21" s="193" t="s">
        <v>689</v>
      </c>
      <c r="AV21" s="207"/>
      <c r="AW21" s="207"/>
      <c r="AX21" s="193" t="s">
        <v>436</v>
      </c>
      <c r="AY21" s="193" t="s">
        <v>690</v>
      </c>
      <c r="AZ21" s="207"/>
      <c r="BA21" s="193" t="s">
        <v>697</v>
      </c>
    </row>
    <row r="22" spans="1:53" s="204" customFormat="1">
      <c r="A22" s="193" t="s">
        <v>169</v>
      </c>
      <c r="B22" s="193" t="s">
        <v>693</v>
      </c>
      <c r="C22" s="192">
        <v>43342</v>
      </c>
      <c r="D22" s="207"/>
      <c r="E22" s="193" t="s">
        <v>694</v>
      </c>
      <c r="F22" s="193" t="s">
        <v>707</v>
      </c>
      <c r="G22" s="193" t="s">
        <v>696</v>
      </c>
      <c r="H22" s="193" t="s">
        <v>697</v>
      </c>
      <c r="I22" s="193" t="s">
        <v>698</v>
      </c>
      <c r="J22" s="193" t="s">
        <v>677</v>
      </c>
      <c r="K22" s="193" t="s">
        <v>699</v>
      </c>
      <c r="L22" s="207"/>
      <c r="M22" s="193" t="s">
        <v>700</v>
      </c>
      <c r="N22" s="207"/>
      <c r="O22" s="207"/>
      <c r="P22" s="192">
        <v>43349</v>
      </c>
      <c r="Q22" s="193" t="s">
        <v>702</v>
      </c>
      <c r="R22" s="193" t="s">
        <v>701</v>
      </c>
      <c r="S22" s="193" t="s">
        <v>703</v>
      </c>
      <c r="T22" s="193" t="s">
        <v>704</v>
      </c>
      <c r="U22" s="193" t="s">
        <v>705</v>
      </c>
      <c r="V22" s="207"/>
      <c r="W22" s="193" t="s">
        <v>706</v>
      </c>
      <c r="X22" s="208">
        <v>0</v>
      </c>
      <c r="Y22" s="209">
        <v>0</v>
      </c>
      <c r="Z22" s="209">
        <v>0</v>
      </c>
      <c r="AA22" s="209">
        <v>0</v>
      </c>
      <c r="AB22" s="193" t="s">
        <v>688</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689</v>
      </c>
      <c r="AS22" s="193" t="s">
        <v>689</v>
      </c>
      <c r="AT22" s="193" t="s">
        <v>689</v>
      </c>
      <c r="AU22" s="193" t="s">
        <v>689</v>
      </c>
      <c r="AV22" s="207"/>
      <c r="AW22" s="207"/>
      <c r="AX22" s="193" t="s">
        <v>436</v>
      </c>
      <c r="AY22" s="193" t="s">
        <v>690</v>
      </c>
      <c r="AZ22" s="207"/>
      <c r="BA22" s="193" t="s">
        <v>697</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708</v>
      </c>
      <c r="B1" s="158"/>
      <c r="C1" s="158"/>
      <c r="D1" s="158"/>
      <c r="E1" s="158"/>
      <c r="G1" s="2"/>
      <c r="J1" s="10"/>
      <c r="M1" s="166"/>
      <c r="N1" s="169"/>
    </row>
    <row r="2" spans="1:53" s="2" customFormat="1" ht="13.15">
      <c r="A2" s="570" t="s">
        <v>281</v>
      </c>
      <c r="B2" s="570"/>
      <c r="C2" s="570"/>
      <c r="D2" s="570"/>
      <c r="E2" s="570"/>
      <c r="J2" s="3"/>
      <c r="M2" s="165"/>
    </row>
    <row r="3" spans="1:53" s="2" customFormat="1" ht="13.15">
      <c r="A3" s="158" t="s">
        <v>339</v>
      </c>
      <c r="B3" s="158"/>
      <c r="C3" s="158"/>
      <c r="D3" s="158"/>
      <c r="E3" s="158"/>
      <c r="J3" s="3"/>
      <c r="M3" s="165"/>
    </row>
    <row r="4" spans="1:53" s="2" customFormat="1" ht="13.5" customHeight="1">
      <c r="I4" s="142"/>
      <c r="J4" s="3"/>
      <c r="K4" s="7"/>
      <c r="M4" s="77"/>
    </row>
    <row r="5" spans="1:53" s="2" customFormat="1" ht="13.5" customHeight="1">
      <c r="A5" s="4" t="s">
        <v>372</v>
      </c>
      <c r="B5" s="4"/>
      <c r="C5" s="6"/>
      <c r="I5" s="142"/>
      <c r="J5" s="3"/>
      <c r="K5" s="7"/>
      <c r="M5" s="77"/>
    </row>
    <row r="6" spans="1:53" s="2" customFormat="1" ht="36.950000000000003" customHeight="1">
      <c r="A6" s="568" t="s">
        <v>308</v>
      </c>
      <c r="B6" s="568"/>
      <c r="C6" s="568"/>
      <c r="D6" s="568"/>
      <c r="E6" s="568"/>
      <c r="F6" s="568"/>
      <c r="G6" s="568"/>
      <c r="H6" s="568"/>
      <c r="I6" s="568"/>
      <c r="J6" s="568"/>
      <c r="K6" s="568"/>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309</v>
      </c>
      <c r="H8" s="55"/>
      <c r="I8" s="55" t="s">
        <v>310</v>
      </c>
      <c r="J8" s="56" t="s">
        <v>53</v>
      </c>
      <c r="K8" s="55" t="s">
        <v>311</v>
      </c>
      <c r="M8" s="80"/>
    </row>
    <row r="9" spans="1:53" s="41" customFormat="1" ht="51.4">
      <c r="A9" s="55"/>
      <c r="B9" s="55"/>
      <c r="C9" s="55"/>
      <c r="D9" s="189">
        <f>AO16</f>
        <v>4061.41</v>
      </c>
      <c r="E9" s="55"/>
      <c r="F9" s="55"/>
      <c r="G9" s="57">
        <f>SUM(A9:E9)</f>
        <v>4061.41</v>
      </c>
      <c r="H9" s="55"/>
      <c r="I9" s="191" t="s">
        <v>709</v>
      </c>
      <c r="J9" s="190">
        <v>43416</v>
      </c>
      <c r="K9" s="143" t="s">
        <v>710</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618</v>
      </c>
      <c r="B13" s="174" t="s">
        <v>619</v>
      </c>
      <c r="C13" s="174" t="s">
        <v>620</v>
      </c>
      <c r="D13" s="174" t="s">
        <v>621</v>
      </c>
      <c r="E13" s="174" t="s">
        <v>622</v>
      </c>
      <c r="F13" s="175" t="s">
        <v>623</v>
      </c>
      <c r="G13" s="176" t="s">
        <v>624</v>
      </c>
      <c r="H13" s="174" t="s">
        <v>625</v>
      </c>
      <c r="I13" s="174" t="s">
        <v>626</v>
      </c>
      <c r="J13" s="174" t="s">
        <v>627</v>
      </c>
      <c r="K13" s="174" t="s">
        <v>628</v>
      </c>
      <c r="L13" s="174" t="s">
        <v>629</v>
      </c>
      <c r="M13" s="174" t="s">
        <v>630</v>
      </c>
      <c r="N13" s="174" t="s">
        <v>631</v>
      </c>
      <c r="O13" s="175" t="s">
        <v>632</v>
      </c>
      <c r="P13" s="176" t="s">
        <v>633</v>
      </c>
      <c r="Q13" s="175" t="s">
        <v>634</v>
      </c>
      <c r="R13" s="174" t="s">
        <v>635</v>
      </c>
      <c r="S13" s="174" t="s">
        <v>636</v>
      </c>
      <c r="T13" s="174" t="s">
        <v>637</v>
      </c>
      <c r="U13" s="175" t="s">
        <v>638</v>
      </c>
      <c r="V13" s="175" t="s">
        <v>639</v>
      </c>
      <c r="W13" s="174" t="s">
        <v>640</v>
      </c>
      <c r="X13" s="174" t="s">
        <v>641</v>
      </c>
      <c r="Y13" s="174" t="s">
        <v>642</v>
      </c>
      <c r="Z13" s="175" t="s">
        <v>643</v>
      </c>
      <c r="AA13" s="175" t="s">
        <v>644</v>
      </c>
      <c r="AB13" s="175" t="s">
        <v>645</v>
      </c>
      <c r="AC13" s="175" t="s">
        <v>646</v>
      </c>
      <c r="AD13" s="175" t="s">
        <v>647</v>
      </c>
      <c r="AE13" s="175" t="s">
        <v>648</v>
      </c>
      <c r="AF13" s="175" t="s">
        <v>649</v>
      </c>
      <c r="AG13" s="175" t="s">
        <v>650</v>
      </c>
      <c r="AH13" s="175" t="s">
        <v>651</v>
      </c>
      <c r="AI13" s="175" t="s">
        <v>652</v>
      </c>
      <c r="AJ13" s="177" t="s">
        <v>653</v>
      </c>
      <c r="AK13" s="177" t="s">
        <v>654</v>
      </c>
      <c r="AL13" s="177" t="s">
        <v>655</v>
      </c>
      <c r="AM13" s="177" t="s">
        <v>656</v>
      </c>
      <c r="AN13" s="177" t="s">
        <v>657</v>
      </c>
      <c r="AO13" s="177" t="s">
        <v>658</v>
      </c>
      <c r="AP13" s="177" t="s">
        <v>659</v>
      </c>
      <c r="AQ13" s="177" t="s">
        <v>660</v>
      </c>
      <c r="AR13" s="177" t="s">
        <v>661</v>
      </c>
      <c r="AS13" s="177" t="s">
        <v>662</v>
      </c>
      <c r="AT13" s="177" t="s">
        <v>663</v>
      </c>
      <c r="AU13" s="177" t="s">
        <v>664</v>
      </c>
      <c r="AV13" s="177" t="s">
        <v>665</v>
      </c>
      <c r="AW13" s="177" t="s">
        <v>666</v>
      </c>
      <c r="AX13" s="177" t="s">
        <v>667</v>
      </c>
      <c r="AY13" s="177" t="s">
        <v>668</v>
      </c>
      <c r="AZ13" s="177" t="s">
        <v>669</v>
      </c>
      <c r="BA13" s="177" t="s">
        <v>670</v>
      </c>
    </row>
    <row r="14" spans="1:53" s="186" customFormat="1" ht="10.5">
      <c r="A14" s="179" t="s">
        <v>169</v>
      </c>
      <c r="B14" s="179" t="s">
        <v>711</v>
      </c>
      <c r="C14" s="180">
        <v>43284</v>
      </c>
      <c r="D14" s="181"/>
      <c r="E14" s="182" t="s">
        <v>712</v>
      </c>
      <c r="F14" s="179">
        <v>71781512</v>
      </c>
      <c r="G14" s="193" t="s">
        <v>713</v>
      </c>
      <c r="H14" s="179" t="s">
        <v>714</v>
      </c>
      <c r="I14" s="179" t="s">
        <v>715</v>
      </c>
      <c r="J14" s="179" t="s">
        <v>716</v>
      </c>
      <c r="K14" s="179" t="s">
        <v>678</v>
      </c>
      <c r="L14" s="179">
        <v>1688</v>
      </c>
      <c r="M14" s="179" t="s">
        <v>680</v>
      </c>
      <c r="N14" s="179" t="s">
        <v>717</v>
      </c>
      <c r="O14" s="179"/>
      <c r="P14" s="192">
        <v>43416</v>
      </c>
      <c r="Q14" s="179" t="s">
        <v>682</v>
      </c>
      <c r="R14" s="179" t="s">
        <v>683</v>
      </c>
      <c r="S14" s="179" t="s">
        <v>684</v>
      </c>
      <c r="T14" s="179" t="s">
        <v>692</v>
      </c>
      <c r="U14" s="181"/>
      <c r="V14" s="179" t="s">
        <v>686</v>
      </c>
      <c r="W14" s="179" t="s">
        <v>687</v>
      </c>
      <c r="X14" s="183">
        <v>0</v>
      </c>
      <c r="Y14" s="184">
        <v>0</v>
      </c>
      <c r="Z14" s="184">
        <v>0</v>
      </c>
      <c r="AA14" s="184">
        <v>0</v>
      </c>
      <c r="AB14" s="179" t="s">
        <v>688</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689</v>
      </c>
      <c r="AS14" s="179" t="s">
        <v>689</v>
      </c>
      <c r="AT14" s="179" t="s">
        <v>689</v>
      </c>
      <c r="AU14" s="179" t="s">
        <v>689</v>
      </c>
      <c r="AV14" s="181"/>
      <c r="AW14" s="179" t="s">
        <v>718</v>
      </c>
      <c r="AX14" s="179"/>
      <c r="AY14" s="179">
        <v>520410</v>
      </c>
      <c r="AZ14" s="181"/>
      <c r="BA14" s="181"/>
    </row>
    <row r="15" spans="1:53" s="186" customFormat="1" ht="10.5">
      <c r="A15" s="179" t="s">
        <v>169</v>
      </c>
      <c r="B15" s="179" t="s">
        <v>711</v>
      </c>
      <c r="C15" s="180">
        <v>43284</v>
      </c>
      <c r="D15" s="181"/>
      <c r="E15" s="182" t="s">
        <v>712</v>
      </c>
      <c r="F15" s="179">
        <v>71781512</v>
      </c>
      <c r="G15" s="193" t="s">
        <v>713</v>
      </c>
      <c r="H15" s="179" t="s">
        <v>714</v>
      </c>
      <c r="I15" s="179" t="s">
        <v>715</v>
      </c>
      <c r="J15" s="179" t="s">
        <v>716</v>
      </c>
      <c r="K15" s="179" t="s">
        <v>678</v>
      </c>
      <c r="L15" s="179">
        <v>1688</v>
      </c>
      <c r="M15" s="179" t="s">
        <v>680</v>
      </c>
      <c r="N15" s="179" t="s">
        <v>717</v>
      </c>
      <c r="O15" s="181"/>
      <c r="P15" s="192">
        <v>43416</v>
      </c>
      <c r="Q15" s="179" t="s">
        <v>719</v>
      </c>
      <c r="R15" s="179" t="s">
        <v>683</v>
      </c>
      <c r="S15" s="179" t="s">
        <v>691</v>
      </c>
      <c r="T15" s="179" t="s">
        <v>692</v>
      </c>
      <c r="U15" s="181"/>
      <c r="V15" s="179" t="s">
        <v>686</v>
      </c>
      <c r="W15" s="179" t="s">
        <v>691</v>
      </c>
      <c r="X15" s="183">
        <v>0</v>
      </c>
      <c r="Y15" s="184">
        <v>0</v>
      </c>
      <c r="Z15" s="184">
        <v>0</v>
      </c>
      <c r="AA15" s="184">
        <v>0</v>
      </c>
      <c r="AB15" s="179" t="s">
        <v>688</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689</v>
      </c>
      <c r="AS15" s="179" t="s">
        <v>689</v>
      </c>
      <c r="AT15" s="179" t="s">
        <v>689</v>
      </c>
      <c r="AU15" s="179" t="s">
        <v>689</v>
      </c>
      <c r="AV15" s="181"/>
      <c r="AW15" s="179" t="s">
        <v>718</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539</v>
      </c>
      <c r="B1" s="13"/>
      <c r="C1" s="13"/>
      <c r="D1" s="13"/>
      <c r="E1" s="13"/>
      <c r="J1" s="10"/>
    </row>
    <row r="2" spans="1:11" s="2" customFormat="1" ht="13.5" customHeight="1">
      <c r="A2" s="37" t="s">
        <v>282</v>
      </c>
      <c r="B2" s="13"/>
      <c r="C2" s="13"/>
      <c r="D2" s="37"/>
      <c r="E2" s="37"/>
      <c r="J2" s="3"/>
    </row>
    <row r="3" spans="1:11" s="2" customFormat="1" ht="13.5" customHeight="1">
      <c r="A3" s="13" t="s">
        <v>720</v>
      </c>
      <c r="B3" s="13"/>
      <c r="C3" s="13"/>
      <c r="D3" s="13"/>
      <c r="E3" s="13"/>
      <c r="J3" s="3"/>
    </row>
    <row r="4" spans="1:11" s="2" customFormat="1" ht="13.5" customHeight="1">
      <c r="J4" s="3"/>
    </row>
    <row r="5" spans="1:11" s="4" customFormat="1" ht="13.5" customHeight="1">
      <c r="A5" s="4" t="s">
        <v>372</v>
      </c>
      <c r="C5" s="6">
        <v>42735</v>
      </c>
      <c r="D5" s="2"/>
      <c r="E5" s="2"/>
      <c r="F5" s="2"/>
      <c r="G5" s="2"/>
      <c r="H5" s="2"/>
      <c r="I5" s="2"/>
      <c r="J5" s="3"/>
      <c r="K5" s="2"/>
    </row>
    <row r="6" spans="1:11" s="4" customFormat="1" ht="36.950000000000003" customHeight="1">
      <c r="A6" s="568" t="s">
        <v>308</v>
      </c>
      <c r="B6" s="568"/>
      <c r="C6" s="568"/>
      <c r="D6" s="568"/>
      <c r="E6" s="568"/>
      <c r="F6" s="568"/>
      <c r="G6" s="568"/>
      <c r="H6" s="568"/>
      <c r="I6" s="568"/>
      <c r="J6" s="568"/>
      <c r="K6" s="568"/>
    </row>
    <row r="7" spans="1:11" s="2" customFormat="1" ht="11.25" customHeight="1">
      <c r="A7" s="12"/>
    </row>
    <row r="8" spans="1:11" s="26" customFormat="1" ht="39.4">
      <c r="A8" s="24" t="s">
        <v>721</v>
      </c>
      <c r="B8" s="24" t="s">
        <v>207</v>
      </c>
      <c r="C8" s="24" t="s">
        <v>208</v>
      </c>
      <c r="D8" s="24" t="s">
        <v>209</v>
      </c>
      <c r="E8" s="24" t="s">
        <v>210</v>
      </c>
      <c r="F8" s="24" t="s">
        <v>212</v>
      </c>
      <c r="G8" s="24"/>
      <c r="H8" s="25" t="s">
        <v>309</v>
      </c>
      <c r="J8" s="26" t="s">
        <v>310</v>
      </c>
      <c r="K8" s="26" t="s">
        <v>311</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722</v>
      </c>
      <c r="B1" s="100"/>
      <c r="C1" s="100"/>
      <c r="D1" s="100"/>
      <c r="E1" s="100"/>
      <c r="J1" s="3"/>
      <c r="K1" s="7"/>
      <c r="M1" s="77" t="s">
        <v>300</v>
      </c>
    </row>
    <row r="2" spans="1:13" s="2" customFormat="1" ht="13.15">
      <c r="A2" s="101" t="s">
        <v>290</v>
      </c>
      <c r="B2" s="103"/>
      <c r="C2" s="103"/>
      <c r="D2" s="103"/>
      <c r="E2" s="103"/>
      <c r="J2" s="3"/>
      <c r="K2" s="7"/>
      <c r="M2" s="77" t="s">
        <v>302</v>
      </c>
    </row>
    <row r="3" spans="1:13" s="2" customFormat="1" ht="13.5" customHeight="1">
      <c r="A3" s="100" t="s">
        <v>720</v>
      </c>
      <c r="B3" s="100"/>
      <c r="C3" s="100"/>
      <c r="D3" s="100"/>
      <c r="E3" s="100"/>
      <c r="J3" s="3"/>
      <c r="K3" s="7"/>
      <c r="M3" s="77" t="s">
        <v>305</v>
      </c>
    </row>
    <row r="4" spans="1:13" s="2" customFormat="1" ht="13.5" customHeight="1">
      <c r="J4" s="3"/>
      <c r="K4" s="7"/>
      <c r="M4" s="77"/>
    </row>
    <row r="5" spans="1:13" s="2" customFormat="1" ht="13.5" customHeight="1">
      <c r="A5" s="4" t="s">
        <v>372</v>
      </c>
      <c r="B5" s="4"/>
      <c r="C5" s="6">
        <v>42809</v>
      </c>
      <c r="J5" s="3"/>
      <c r="K5" s="7"/>
      <c r="M5" s="77"/>
    </row>
    <row r="6" spans="1:13" s="2" customFormat="1" ht="36.950000000000003" customHeight="1">
      <c r="A6" s="568" t="s">
        <v>308</v>
      </c>
      <c r="B6" s="568"/>
      <c r="C6" s="568"/>
      <c r="D6" s="568"/>
      <c r="E6" s="568"/>
      <c r="F6" s="568"/>
      <c r="G6" s="568"/>
      <c r="H6" s="568"/>
      <c r="I6" s="568"/>
      <c r="J6" s="568"/>
      <c r="K6" s="568"/>
      <c r="M6" s="77"/>
    </row>
    <row r="7" spans="1:13" s="2" customFormat="1" ht="30" customHeight="1">
      <c r="J7" s="3"/>
      <c r="K7" s="7"/>
      <c r="M7" s="77"/>
    </row>
    <row r="8" spans="1:13" ht="39.4">
      <c r="A8" s="55" t="s">
        <v>207</v>
      </c>
      <c r="B8" s="55" t="s">
        <v>208</v>
      </c>
      <c r="C8" s="55" t="s">
        <v>209</v>
      </c>
      <c r="D8" s="55" t="s">
        <v>210</v>
      </c>
      <c r="E8" s="55" t="s">
        <v>212</v>
      </c>
      <c r="F8" s="55"/>
      <c r="G8" s="55" t="s">
        <v>309</v>
      </c>
      <c r="H8" s="55"/>
      <c r="I8" s="55" t="s">
        <v>310</v>
      </c>
      <c r="J8" s="56" t="s">
        <v>53</v>
      </c>
      <c r="K8" s="55" t="s">
        <v>311</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73" t="s">
        <v>723</v>
      </c>
      <c r="B1" s="573"/>
      <c r="C1" s="573"/>
      <c r="D1" s="573"/>
      <c r="E1" s="573"/>
      <c r="F1" s="573"/>
      <c r="G1" s="573"/>
      <c r="H1" s="573"/>
      <c r="I1" s="573"/>
      <c r="J1" s="573"/>
      <c r="K1" s="573"/>
      <c r="L1" s="573"/>
      <c r="M1" s="573"/>
      <c r="N1" s="573"/>
      <c r="O1" s="573"/>
      <c r="P1" s="573"/>
      <c r="Q1" s="573"/>
      <c r="R1" s="573"/>
      <c r="S1" s="573"/>
      <c r="T1" s="573"/>
    </row>
    <row r="2" spans="1:30" s="18" customFormat="1" ht="49.5" customHeight="1">
      <c r="A2" s="44"/>
      <c r="B2" s="44"/>
      <c r="C2" s="44"/>
      <c r="D2" s="44"/>
      <c r="E2" s="44">
        <f>172.58/4</f>
        <v>43.145000000000003</v>
      </c>
      <c r="F2" s="44"/>
      <c r="G2" s="108">
        <v>43.145000000000003</v>
      </c>
      <c r="H2" s="4"/>
      <c r="I2" s="136" t="s">
        <v>724</v>
      </c>
      <c r="J2" s="10">
        <v>43045</v>
      </c>
      <c r="K2" s="8" t="s">
        <v>725</v>
      </c>
      <c r="L2" s="41"/>
      <c r="M2" s="81"/>
      <c r="N2" s="74"/>
      <c r="O2" s="135" t="s">
        <v>366</v>
      </c>
      <c r="P2" s="41"/>
      <c r="Q2" s="4" t="s">
        <v>726</v>
      </c>
      <c r="R2" s="16" t="s">
        <v>727</v>
      </c>
      <c r="S2" s="41"/>
      <c r="T2" s="41"/>
      <c r="U2" s="152" t="s">
        <v>728</v>
      </c>
      <c r="V2" s="41"/>
      <c r="W2" s="41"/>
      <c r="X2" s="41"/>
      <c r="Y2" s="41"/>
      <c r="Z2" s="41"/>
      <c r="AA2" s="41"/>
      <c r="AB2" s="41"/>
      <c r="AC2" s="41"/>
      <c r="AD2" s="41"/>
    </row>
    <row r="3" spans="1:30" ht="14.25">
      <c r="A3" s="151"/>
    </row>
    <row r="4" spans="1:30" ht="35.25" customHeight="1">
      <c r="A4" s="573" t="s">
        <v>729</v>
      </c>
      <c r="B4" s="573"/>
      <c r="C4" s="573"/>
      <c r="D4" s="573"/>
      <c r="E4" s="573"/>
      <c r="F4" s="573"/>
      <c r="G4" s="573"/>
      <c r="H4" s="573"/>
      <c r="I4" s="573"/>
      <c r="J4" s="573"/>
      <c r="K4" s="573"/>
      <c r="L4" s="573"/>
      <c r="M4" s="573"/>
      <c r="N4" s="573"/>
      <c r="O4" s="573"/>
      <c r="P4" s="573"/>
      <c r="Q4" s="573"/>
      <c r="R4" s="573"/>
      <c r="S4" s="573"/>
      <c r="T4" s="573"/>
    </row>
    <row r="5" spans="1:30" ht="35.25" customHeight="1">
      <c r="A5" s="573" t="s">
        <v>730</v>
      </c>
      <c r="B5" s="573"/>
      <c r="C5" s="573"/>
      <c r="D5" s="573"/>
      <c r="E5" s="573"/>
      <c r="F5" s="573"/>
      <c r="G5" s="573"/>
      <c r="H5" s="573"/>
      <c r="I5" s="573"/>
      <c r="J5" s="573"/>
      <c r="K5" s="573"/>
      <c r="L5" s="573"/>
      <c r="M5" s="573"/>
      <c r="N5" s="573"/>
      <c r="O5" s="573"/>
      <c r="P5" s="573"/>
      <c r="Q5" s="573"/>
      <c r="R5" s="573"/>
      <c r="S5" s="573"/>
      <c r="T5" s="573"/>
    </row>
    <row r="6" spans="1:30" s="41" customFormat="1" ht="39">
      <c r="A6" s="44"/>
      <c r="B6" s="44"/>
      <c r="C6" s="44"/>
      <c r="D6" s="44"/>
      <c r="E6" s="44">
        <v>0.97</v>
      </c>
      <c r="F6" s="44"/>
      <c r="G6" s="154">
        <f t="shared" ref="G6:G8" si="0">SUM(A6:E6)</f>
        <v>0.97</v>
      </c>
      <c r="H6" s="4"/>
      <c r="I6" s="75" t="s">
        <v>352</v>
      </c>
      <c r="J6" s="10">
        <v>43075</v>
      </c>
      <c r="K6" s="8" t="s">
        <v>731</v>
      </c>
      <c r="L6" s="132" t="s">
        <v>351</v>
      </c>
      <c r="N6" s="153" t="s">
        <v>732</v>
      </c>
      <c r="U6" s="152" t="s">
        <v>728</v>
      </c>
    </row>
    <row r="7" spans="1:30" s="41" customFormat="1" ht="51.75">
      <c r="A7" s="44"/>
      <c r="B7" s="44"/>
      <c r="C7" s="44"/>
      <c r="D7" s="44"/>
      <c r="E7" s="44">
        <v>6.46</v>
      </c>
      <c r="F7" s="44"/>
      <c r="G7" s="154">
        <f t="shared" si="0"/>
        <v>6.46</v>
      </c>
      <c r="H7" s="4"/>
      <c r="I7" s="75" t="s">
        <v>352</v>
      </c>
      <c r="J7" s="10">
        <v>43075</v>
      </c>
      <c r="K7" s="8" t="s">
        <v>733</v>
      </c>
      <c r="L7" s="132" t="s">
        <v>351</v>
      </c>
      <c r="N7" s="133" t="s">
        <v>734</v>
      </c>
      <c r="O7" s="44">
        <f>(41.43+3.78)</f>
        <v>45.21</v>
      </c>
      <c r="P7" s="134">
        <v>8</v>
      </c>
      <c r="Q7" s="4">
        <f t="shared" ref="Q7" si="1">O7/P7</f>
        <v>5.6512500000000001</v>
      </c>
      <c r="R7" s="4"/>
      <c r="U7" s="152" t="s">
        <v>728</v>
      </c>
    </row>
    <row r="8" spans="1:30" s="41" customFormat="1" ht="51.75">
      <c r="A8" s="44"/>
      <c r="B8" s="44"/>
      <c r="C8" s="44"/>
      <c r="D8" s="44"/>
      <c r="E8" s="44">
        <v>20.239999999999998</v>
      </c>
      <c r="F8" s="44"/>
      <c r="G8" s="154">
        <f t="shared" si="0"/>
        <v>20.239999999999998</v>
      </c>
      <c r="H8" s="4"/>
      <c r="I8" s="75" t="s">
        <v>364</v>
      </c>
      <c r="J8" s="10">
        <v>43073</v>
      </c>
      <c r="K8" s="8" t="s">
        <v>365</v>
      </c>
      <c r="L8" s="135" t="s">
        <v>366</v>
      </c>
      <c r="N8" s="153" t="s">
        <v>363</v>
      </c>
      <c r="O8" s="4"/>
      <c r="P8" s="134"/>
      <c r="Q8" s="4"/>
      <c r="R8" s="4"/>
      <c r="S8" s="4"/>
      <c r="T8" s="4"/>
      <c r="U8" s="152" t="s">
        <v>728</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364</v>
      </c>
      <c r="J11" s="10">
        <v>43074</v>
      </c>
      <c r="K11" s="8" t="s">
        <v>735</v>
      </c>
      <c r="L11" s="135" t="s">
        <v>366</v>
      </c>
      <c r="N11" s="133" t="s">
        <v>736</v>
      </c>
      <c r="U11" s="152" t="s">
        <v>737</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309</v>
      </c>
      <c r="H1" s="55"/>
      <c r="I1" s="55" t="s">
        <v>310</v>
      </c>
      <c r="J1" s="56" t="s">
        <v>53</v>
      </c>
      <c r="K1" s="55" t="s">
        <v>311</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505</v>
      </c>
      <c r="B1" s="112"/>
      <c r="C1" s="112"/>
      <c r="D1" s="112"/>
    </row>
    <row r="2" spans="1:43" ht="13.15">
      <c r="A2" s="111" t="s">
        <v>506</v>
      </c>
      <c r="B2" s="112"/>
      <c r="C2" s="112"/>
      <c r="D2" s="112"/>
      <c r="F2" s="118" t="s">
        <v>738</v>
      </c>
      <c r="G2" s="118"/>
      <c r="H2" s="118"/>
    </row>
    <row r="3" spans="1:43">
      <c r="A3" s="112"/>
      <c r="B3" s="112"/>
      <c r="C3" s="112"/>
      <c r="D3" s="112"/>
    </row>
    <row r="4" spans="1:43" ht="13.15">
      <c r="A4" s="109" t="s">
        <v>739</v>
      </c>
    </row>
    <row r="6" spans="1:43" s="4" customFormat="1" ht="39.4">
      <c r="A6" s="7" t="s">
        <v>207</v>
      </c>
      <c r="B6" s="7" t="s">
        <v>208</v>
      </c>
      <c r="C6" s="7" t="s">
        <v>209</v>
      </c>
      <c r="D6" s="7" t="s">
        <v>210</v>
      </c>
      <c r="E6" s="7" t="s">
        <v>212</v>
      </c>
      <c r="F6" s="7"/>
      <c r="G6" s="7" t="s">
        <v>309</v>
      </c>
      <c r="H6" s="7"/>
      <c r="I6" s="7" t="s">
        <v>310</v>
      </c>
      <c r="J6" s="9" t="s">
        <v>53</v>
      </c>
      <c r="K6" s="7" t="s">
        <v>311</v>
      </c>
      <c r="L6"/>
      <c r="M6"/>
      <c r="N6"/>
      <c r="O6"/>
      <c r="P6"/>
      <c r="Q6"/>
      <c r="R6"/>
      <c r="S6"/>
      <c r="T6"/>
      <c r="U6"/>
      <c r="V6"/>
      <c r="W6"/>
      <c r="X6"/>
      <c r="Y6"/>
      <c r="Z6"/>
      <c r="AA6"/>
      <c r="AB6"/>
      <c r="AC6"/>
      <c r="AD6"/>
      <c r="AE6"/>
      <c r="AF6"/>
      <c r="AG6"/>
      <c r="AH6"/>
      <c r="AI6"/>
      <c r="AJ6"/>
      <c r="AK6"/>
      <c r="AL6"/>
      <c r="AM6"/>
      <c r="AN6"/>
      <c r="AO6"/>
      <c r="AP6"/>
      <c r="AQ6"/>
    </row>
    <row r="18" spans="18:21">
      <c r="R18" s="119" t="s">
        <v>740</v>
      </c>
      <c r="S18" s="119" t="s">
        <v>740</v>
      </c>
      <c r="T18" s="119" t="s">
        <v>740</v>
      </c>
    </row>
    <row r="19" spans="18:21">
      <c r="R19">
        <v>202.48</v>
      </c>
      <c r="S19">
        <v>20</v>
      </c>
      <c r="T19">
        <f>SUM(R19:S19)</f>
        <v>222.48</v>
      </c>
      <c r="U19" t="s">
        <v>741</v>
      </c>
    </row>
    <row r="20" spans="18:21">
      <c r="R20">
        <v>143.77000000000001</v>
      </c>
      <c r="S20">
        <v>20</v>
      </c>
      <c r="T20">
        <f>SUM(R20:S20)</f>
        <v>163.77000000000001</v>
      </c>
      <c r="U20" t="s">
        <v>505</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742</v>
      </c>
      <c r="B1" s="112"/>
      <c r="C1" s="112"/>
      <c r="D1" s="112"/>
    </row>
    <row r="2" spans="1:43" ht="13.15">
      <c r="A2" s="111" t="s">
        <v>743</v>
      </c>
      <c r="B2" s="112"/>
      <c r="C2" s="112"/>
      <c r="D2" s="112"/>
      <c r="F2" s="118" t="s">
        <v>738</v>
      </c>
      <c r="G2" s="118"/>
      <c r="H2" s="118"/>
    </row>
    <row r="3" spans="1:43">
      <c r="A3" s="112"/>
      <c r="B3" s="112"/>
      <c r="C3" s="112"/>
      <c r="D3" s="112"/>
    </row>
    <row r="4" spans="1:43" s="64" customFormat="1" ht="13.15">
      <c r="A4" s="12" t="s">
        <v>739</v>
      </c>
    </row>
    <row r="5" spans="1:43" s="64" customFormat="1"/>
    <row r="6" spans="1:43" s="4" customFormat="1" ht="39.4">
      <c r="A6" s="7" t="s">
        <v>207</v>
      </c>
      <c r="B6" s="7" t="s">
        <v>208</v>
      </c>
      <c r="C6" s="7" t="s">
        <v>209</v>
      </c>
      <c r="D6" s="7" t="s">
        <v>210</v>
      </c>
      <c r="E6" s="7" t="s">
        <v>212</v>
      </c>
      <c r="F6" s="7"/>
      <c r="G6" s="7" t="s">
        <v>309</v>
      </c>
      <c r="H6" s="7"/>
      <c r="I6" s="7" t="s">
        <v>310</v>
      </c>
      <c r="J6" s="9" t="s">
        <v>53</v>
      </c>
      <c r="K6" s="7" t="s">
        <v>311</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744</v>
      </c>
    </row>
    <row r="56" spans="1:9" ht="13.15">
      <c r="A56" s="121" t="s">
        <v>745</v>
      </c>
      <c r="B56" s="122">
        <v>2160.37</v>
      </c>
      <c r="C56" s="123">
        <v>3100961586</v>
      </c>
      <c r="D56" s="124">
        <v>43061</v>
      </c>
      <c r="E56" s="125" t="s">
        <v>746</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299</v>
      </c>
      <c r="B1" s="86"/>
      <c r="C1" s="86"/>
      <c r="D1" s="86"/>
      <c r="E1" s="2"/>
      <c r="F1" s="2"/>
      <c r="G1" s="2"/>
      <c r="H1" s="2"/>
      <c r="I1" s="2"/>
      <c r="J1" s="3"/>
      <c r="K1" s="7"/>
    </row>
    <row r="2" spans="1:13" s="2" customFormat="1" ht="14.25">
      <c r="A2" s="86" t="s">
        <v>301</v>
      </c>
      <c r="B2" s="86"/>
      <c r="C2" s="86"/>
      <c r="D2" s="86"/>
      <c r="E2" s="4"/>
      <c r="F2" s="4"/>
      <c r="G2" s="4"/>
      <c r="H2" s="4"/>
      <c r="I2" s="4"/>
      <c r="J2" s="10"/>
      <c r="K2" s="8"/>
    </row>
    <row r="3" spans="1:13" s="4" customFormat="1" ht="14.25">
      <c r="A3" s="86" t="s">
        <v>304</v>
      </c>
      <c r="B3" s="86"/>
      <c r="C3" s="86"/>
      <c r="D3" s="86"/>
      <c r="E3" s="2"/>
      <c r="F3" s="2"/>
      <c r="G3" s="2"/>
      <c r="H3" s="2"/>
      <c r="I3" s="2"/>
      <c r="J3" s="3"/>
      <c r="K3" s="7"/>
    </row>
    <row r="4" spans="1:13" s="26" customFormat="1" ht="39.4">
      <c r="A4" s="66" t="s">
        <v>207</v>
      </c>
      <c r="B4" s="66" t="s">
        <v>208</v>
      </c>
      <c r="C4" s="66" t="s">
        <v>209</v>
      </c>
      <c r="D4" s="66" t="s">
        <v>210</v>
      </c>
      <c r="E4" s="66" t="s">
        <v>212</v>
      </c>
      <c r="F4" s="66"/>
      <c r="G4" s="66" t="s">
        <v>309</v>
      </c>
      <c r="H4" s="67"/>
      <c r="I4" s="66" t="s">
        <v>310</v>
      </c>
      <c r="J4" s="68" t="s">
        <v>53</v>
      </c>
      <c r="K4" s="67" t="s">
        <v>311</v>
      </c>
    </row>
    <row r="5" spans="1:13" s="16" customFormat="1" ht="26.25" customHeight="1">
      <c r="A5" s="44"/>
      <c r="B5" s="44"/>
      <c r="C5" s="2"/>
      <c r="D5" s="44"/>
      <c r="E5" s="44">
        <v>4.2</v>
      </c>
      <c r="F5" s="44"/>
      <c r="G5" s="4">
        <f>SUM(A5:E5)</f>
        <v>4.2</v>
      </c>
      <c r="H5" s="4"/>
      <c r="I5" s="4" t="s">
        <v>747</v>
      </c>
      <c r="J5" s="10">
        <v>42614</v>
      </c>
      <c r="K5" s="8" t="s">
        <v>748</v>
      </c>
    </row>
    <row r="6" spans="1:13" s="16" customFormat="1" ht="26.25" customHeight="1">
      <c r="A6" s="44"/>
      <c r="B6" s="44"/>
      <c r="C6" s="2"/>
      <c r="D6" s="44"/>
      <c r="E6" s="44">
        <f>905.06/18</f>
        <v>50.281111111111109</v>
      </c>
      <c r="F6" s="44"/>
      <c r="G6" s="4">
        <f>SUM(A6:E6)</f>
        <v>50.281111111111109</v>
      </c>
      <c r="H6" s="4"/>
      <c r="I6" s="4" t="s">
        <v>749</v>
      </c>
      <c r="J6" s="10">
        <v>42688</v>
      </c>
      <c r="K6" s="8" t="s">
        <v>750</v>
      </c>
    </row>
    <row r="7" spans="1:13" s="16" customFormat="1" ht="30.75" customHeight="1">
      <c r="A7" s="44"/>
      <c r="B7" s="44"/>
      <c r="C7" s="2"/>
      <c r="D7" s="44"/>
      <c r="E7" s="44">
        <f>(136.58+184.3+27.45)/8</f>
        <v>43.541249999999998</v>
      </c>
      <c r="F7" s="44"/>
      <c r="G7" s="4">
        <f>SUM(A7:E7)</f>
        <v>43.541249999999998</v>
      </c>
      <c r="H7" s="4"/>
      <c r="I7" s="4" t="s">
        <v>320</v>
      </c>
      <c r="J7" s="42" t="s">
        <v>751</v>
      </c>
      <c r="K7" s="8" t="s">
        <v>752</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474</v>
      </c>
      <c r="B12" s="86"/>
      <c r="C12" s="86"/>
      <c r="D12" s="86"/>
      <c r="E12" s="86"/>
      <c r="J12" s="10"/>
    </row>
    <row r="13" spans="1:13" s="2" customFormat="1" ht="13.5" customHeight="1">
      <c r="A13" s="87" t="s">
        <v>272</v>
      </c>
      <c r="B13" s="86"/>
      <c r="C13" s="86"/>
      <c r="D13" s="87"/>
      <c r="E13" s="87"/>
      <c r="J13" s="3"/>
    </row>
    <row r="14" spans="1:13" s="2" customFormat="1" ht="13.5" customHeight="1">
      <c r="A14" s="86" t="s">
        <v>720</v>
      </c>
      <c r="B14" s="86"/>
      <c r="C14" s="86"/>
      <c r="D14" s="86"/>
      <c r="E14" s="86"/>
      <c r="J14" s="3"/>
    </row>
    <row r="15" spans="1:13" s="26" customFormat="1" ht="39.4">
      <c r="A15" s="66" t="s">
        <v>207</v>
      </c>
      <c r="B15" s="66" t="s">
        <v>208</v>
      </c>
      <c r="C15" s="66" t="s">
        <v>209</v>
      </c>
      <c r="D15" s="66" t="s">
        <v>210</v>
      </c>
      <c r="E15" s="66" t="s">
        <v>212</v>
      </c>
      <c r="F15" s="66"/>
      <c r="G15" s="66" t="s">
        <v>309</v>
      </c>
      <c r="H15" s="67"/>
      <c r="I15" s="66" t="s">
        <v>310</v>
      </c>
      <c r="J15" s="68" t="s">
        <v>53</v>
      </c>
      <c r="K15" s="67" t="s">
        <v>311</v>
      </c>
    </row>
    <row r="16" spans="1:13" s="16" customFormat="1" ht="26.25" customHeight="1">
      <c r="A16" s="44"/>
      <c r="B16" s="44"/>
      <c r="C16" s="2"/>
      <c r="D16" s="44"/>
      <c r="E16" s="44">
        <v>4.34</v>
      </c>
      <c r="F16" s="44"/>
      <c r="G16" s="4">
        <f>SUM(A16:E16)</f>
        <v>4.34</v>
      </c>
      <c r="H16" s="4"/>
      <c r="I16" s="4" t="s">
        <v>747</v>
      </c>
      <c r="J16" s="10">
        <v>42598</v>
      </c>
      <c r="K16" s="8" t="s">
        <v>748</v>
      </c>
    </row>
    <row r="17" spans="1:13" s="16" customFormat="1" ht="27" customHeight="1">
      <c r="A17" s="44"/>
      <c r="B17" s="44"/>
      <c r="C17" s="2"/>
      <c r="D17" s="44"/>
      <c r="E17" s="44">
        <f>905.06/18</f>
        <v>50.281111111111109</v>
      </c>
      <c r="F17" s="44"/>
      <c r="G17" s="4">
        <f>SUM(A17:E17)</f>
        <v>50.281111111111109</v>
      </c>
      <c r="H17" s="4"/>
      <c r="I17" s="4" t="s">
        <v>749</v>
      </c>
      <c r="J17" s="10">
        <v>42688</v>
      </c>
      <c r="K17" s="8" t="s">
        <v>750</v>
      </c>
    </row>
    <row r="18" spans="1:13" s="16" customFormat="1" ht="30.75" customHeight="1">
      <c r="A18" s="44"/>
      <c r="B18" s="44"/>
      <c r="C18" s="2"/>
      <c r="D18" s="44"/>
      <c r="E18" s="44">
        <f>(136.58+184.3+27.45)/8</f>
        <v>43.541249999999998</v>
      </c>
      <c r="F18" s="44"/>
      <c r="G18" s="4">
        <f>SUM(A18:E18)</f>
        <v>43.541249999999998</v>
      </c>
      <c r="H18" s="4"/>
      <c r="I18" s="4" t="s">
        <v>320</v>
      </c>
      <c r="J18" s="42" t="s">
        <v>751</v>
      </c>
      <c r="K18" s="8" t="s">
        <v>752</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565</v>
      </c>
      <c r="B23" s="86"/>
      <c r="C23" s="86"/>
      <c r="D23" s="86"/>
      <c r="E23" s="86"/>
      <c r="J23" s="3"/>
      <c r="K23" s="7"/>
    </row>
    <row r="24" spans="1:13" s="2" customFormat="1" ht="29.25" customHeight="1">
      <c r="A24" s="574" t="s">
        <v>566</v>
      </c>
      <c r="B24" s="574"/>
      <c r="C24" s="574"/>
      <c r="D24" s="574"/>
      <c r="E24" s="574"/>
      <c r="J24" s="3"/>
      <c r="K24" s="7"/>
    </row>
    <row r="25" spans="1:13" s="2" customFormat="1" ht="13.5" customHeight="1">
      <c r="A25" s="86" t="s">
        <v>720</v>
      </c>
      <c r="B25" s="86"/>
      <c r="C25" s="86"/>
      <c r="D25" s="86"/>
      <c r="E25" s="86"/>
      <c r="J25" s="3"/>
      <c r="K25" s="7"/>
    </row>
    <row r="26" spans="1:13" s="26" customFormat="1" ht="39.4">
      <c r="A26" s="66" t="s">
        <v>207</v>
      </c>
      <c r="B26" s="66" t="s">
        <v>208</v>
      </c>
      <c r="C26" s="66" t="s">
        <v>209</v>
      </c>
      <c r="D26" s="66" t="s">
        <v>210</v>
      </c>
      <c r="E26" s="66" t="s">
        <v>212</v>
      </c>
      <c r="F26" s="66"/>
      <c r="G26" s="66" t="s">
        <v>309</v>
      </c>
      <c r="H26" s="67"/>
      <c r="I26" s="66" t="s">
        <v>310</v>
      </c>
      <c r="J26" s="68" t="s">
        <v>53</v>
      </c>
      <c r="K26" s="67" t="s">
        <v>311</v>
      </c>
    </row>
    <row r="27" spans="1:13" s="16" customFormat="1" ht="26.25" customHeight="1">
      <c r="A27" s="44"/>
      <c r="B27" s="44"/>
      <c r="C27" s="2"/>
      <c r="D27" s="44"/>
      <c r="E27" s="44">
        <f>905.06/18</f>
        <v>50.281111111111109</v>
      </c>
      <c r="F27" s="44"/>
      <c r="G27" s="4">
        <f>SUM(A27:E27)</f>
        <v>50.281111111111109</v>
      </c>
      <c r="H27" s="4"/>
      <c r="I27" s="4" t="s">
        <v>749</v>
      </c>
      <c r="J27" s="10">
        <v>42688</v>
      </c>
      <c r="K27" s="8" t="s">
        <v>750</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505</v>
      </c>
      <c r="B33" s="86"/>
      <c r="C33" s="86"/>
      <c r="D33" s="86"/>
      <c r="E33" s="86"/>
      <c r="J33" s="10"/>
    </row>
    <row r="34" spans="1:14" s="2" customFormat="1" ht="13.5" customHeight="1">
      <c r="A34" s="87" t="s">
        <v>506</v>
      </c>
      <c r="B34" s="86"/>
      <c r="C34" s="86"/>
      <c r="D34" s="87"/>
      <c r="E34" s="87"/>
      <c r="J34" s="3"/>
    </row>
    <row r="35" spans="1:14" s="2" customFormat="1" ht="13.5" customHeight="1">
      <c r="A35" s="86" t="s">
        <v>720</v>
      </c>
      <c r="B35" s="86"/>
      <c r="C35" s="86"/>
      <c r="D35" s="86"/>
      <c r="E35" s="86"/>
      <c r="J35" s="3"/>
    </row>
    <row r="36" spans="1:14" s="4" customFormat="1" ht="58.5" customHeight="1">
      <c r="A36" s="7" t="s">
        <v>207</v>
      </c>
      <c r="B36" s="7" t="s">
        <v>208</v>
      </c>
      <c r="C36" s="7" t="s">
        <v>209</v>
      </c>
      <c r="D36" s="7" t="s">
        <v>210</v>
      </c>
      <c r="E36" s="7" t="s">
        <v>212</v>
      </c>
      <c r="F36" s="7"/>
      <c r="G36" s="7" t="s">
        <v>309</v>
      </c>
      <c r="H36" s="7"/>
      <c r="I36" s="7" t="s">
        <v>310</v>
      </c>
      <c r="J36" s="9" t="s">
        <v>53</v>
      </c>
      <c r="K36" s="7" t="s">
        <v>311</v>
      </c>
    </row>
    <row r="37" spans="1:14" s="16" customFormat="1" ht="26.25" customHeight="1">
      <c r="A37" s="44"/>
      <c r="B37" s="44"/>
      <c r="C37" s="2"/>
      <c r="D37" s="44"/>
      <c r="E37" s="44">
        <f>905.06/18</f>
        <v>50.281111111111109</v>
      </c>
      <c r="F37" s="44"/>
      <c r="G37" s="4">
        <f>SUM(A37:E37)</f>
        <v>50.281111111111109</v>
      </c>
      <c r="H37" s="4"/>
      <c r="I37" s="4" t="s">
        <v>749</v>
      </c>
      <c r="J37" s="10">
        <v>42688</v>
      </c>
      <c r="K37" s="8" t="s">
        <v>750</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463</v>
      </c>
      <c r="B42" s="86"/>
      <c r="C42" s="86"/>
      <c r="D42" s="86"/>
      <c r="E42" s="86"/>
      <c r="J42" s="10"/>
    </row>
    <row r="43" spans="1:14" s="2" customFormat="1" ht="13.5" customHeight="1">
      <c r="A43" s="87" t="s">
        <v>464</v>
      </c>
      <c r="B43" s="86"/>
      <c r="C43" s="86"/>
      <c r="D43" s="87"/>
      <c r="E43" s="87"/>
      <c r="J43" s="3"/>
    </row>
    <row r="44" spans="1:14" s="2" customFormat="1" ht="13.5" customHeight="1">
      <c r="A44" s="86" t="s">
        <v>720</v>
      </c>
      <c r="B44" s="86"/>
      <c r="C44" s="86"/>
      <c r="D44" s="86"/>
      <c r="E44" s="86"/>
      <c r="J44" s="3"/>
    </row>
    <row r="45" spans="1:14" s="4" customFormat="1" ht="58.5" customHeight="1">
      <c r="A45" s="7" t="s">
        <v>207</v>
      </c>
      <c r="B45" s="7" t="s">
        <v>208</v>
      </c>
      <c r="C45" s="7" t="s">
        <v>209</v>
      </c>
      <c r="D45" s="7" t="s">
        <v>210</v>
      </c>
      <c r="E45" s="7" t="s">
        <v>212</v>
      </c>
      <c r="F45" s="7"/>
      <c r="G45" s="7" t="s">
        <v>309</v>
      </c>
      <c r="H45" s="7"/>
      <c r="I45" s="7" t="s">
        <v>310</v>
      </c>
      <c r="J45" s="9" t="s">
        <v>53</v>
      </c>
      <c r="K45" s="7" t="s">
        <v>311</v>
      </c>
    </row>
    <row r="46" spans="1:14" s="16" customFormat="1" ht="29.25" customHeight="1">
      <c r="A46" s="44"/>
      <c r="B46" s="44"/>
      <c r="C46" s="2"/>
      <c r="D46" s="44"/>
      <c r="E46" s="44">
        <f>(136.58+184.3+27.45)/8</f>
        <v>43.541249999999998</v>
      </c>
      <c r="F46" s="44"/>
      <c r="G46" s="4">
        <f>SUM(A46:E46)</f>
        <v>43.541249999999998</v>
      </c>
      <c r="H46" s="4"/>
      <c r="I46" s="4" t="s">
        <v>320</v>
      </c>
      <c r="J46" s="42" t="s">
        <v>751</v>
      </c>
      <c r="K46" s="8" t="s">
        <v>752</v>
      </c>
      <c r="N46" s="73"/>
    </row>
    <row r="47" spans="1:14" s="16" customFormat="1" ht="30" customHeight="1">
      <c r="A47" s="44"/>
      <c r="B47" s="44"/>
      <c r="C47" s="2"/>
      <c r="D47" s="44"/>
      <c r="E47" s="44">
        <v>4.34</v>
      </c>
      <c r="F47" s="44"/>
      <c r="G47" s="4">
        <f>SUM(A47:E47)</f>
        <v>4.34</v>
      </c>
      <c r="H47" s="4"/>
      <c r="I47" s="4" t="s">
        <v>747</v>
      </c>
      <c r="J47" s="10">
        <v>42598</v>
      </c>
      <c r="K47" s="8" t="s">
        <v>748</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61" t="s">
        <v>204</v>
      </c>
      <c r="G1" s="562"/>
      <c r="H1" s="562"/>
      <c r="I1" s="562"/>
      <c r="J1" s="562"/>
      <c r="K1" s="562"/>
      <c r="L1" s="562"/>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f>'Khan S'!A138</f>
        <v>0</v>
      </c>
      <c r="G3" s="46">
        <f>'Khan S'!B138</f>
        <v>0</v>
      </c>
      <c r="H3" s="46">
        <f>'Khan S'!C138</f>
        <v>935.51249999999993</v>
      </c>
      <c r="I3" s="46">
        <f>'Khan S'!D138</f>
        <v>0</v>
      </c>
      <c r="J3" s="46">
        <f>'Khan S'!E138</f>
        <v>0</v>
      </c>
      <c r="K3" s="46">
        <f>'Khan S'!F138</f>
        <v>27.99</v>
      </c>
      <c r="L3" s="106">
        <f>SUM(F3:K3)</f>
        <v>963.50249999999994</v>
      </c>
      <c r="Q3" s="477" t="s">
        <v>216</v>
      </c>
      <c r="R3" s="474">
        <v>963.50249999999994</v>
      </c>
      <c r="S3" s="474">
        <f>L3-R3</f>
        <v>0</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f>'Khan S'!A78</f>
        <v>0</v>
      </c>
      <c r="E3" s="46">
        <f>'Khan S'!B78</f>
        <v>0</v>
      </c>
      <c r="F3" s="46">
        <f>'Khan S'!C78</f>
        <v>86.9</v>
      </c>
      <c r="G3" s="46">
        <f>'Khan S'!D78</f>
        <v>521.1450000000001</v>
      </c>
      <c r="H3" s="46">
        <f>'Khan S'!F78</f>
        <v>296.06</v>
      </c>
      <c r="I3" s="254">
        <f>SUM(D3:H3)</f>
        <v>904.10500000000002</v>
      </c>
      <c r="K3" s="255">
        <v>6420.0300000000007</v>
      </c>
      <c r="L3" s="255">
        <f>SUM('Khan S'!A57:A57)</f>
        <v>0</v>
      </c>
      <c r="M3" s="255">
        <f>SUM('Khan S'!B57:B57)</f>
        <v>0</v>
      </c>
      <c r="N3" s="255">
        <f>SUM('Khan S'!C57:C57)</f>
        <v>0</v>
      </c>
      <c r="O3" s="255">
        <f>SUM('Khan S'!D57:D57)</f>
        <v>0</v>
      </c>
      <c r="P3" s="255">
        <f>SUM('Khan S'!F57:F57)</f>
        <v>0</v>
      </c>
      <c r="Q3" s="89">
        <f t="shared" ref="Q3:Q17" si="0">SUM(L3:P3)</f>
        <v>0</v>
      </c>
      <c r="R3" s="89">
        <f t="shared" ref="R3:R9" si="1">Q3+K3</f>
        <v>6420.0300000000007</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63" t="s">
        <v>286</v>
      </c>
      <c r="E1" s="564"/>
      <c r="F1" s="564"/>
      <c r="G1" s="564"/>
      <c r="H1" s="564"/>
      <c r="I1" s="564"/>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f>'Khan S'!A58</f>
        <v>0</v>
      </c>
      <c r="E3" s="46">
        <f>'Khan S'!B58</f>
        <v>0</v>
      </c>
      <c r="F3" s="46">
        <f>'Khan S'!C58</f>
        <v>0</v>
      </c>
      <c r="G3" s="46">
        <f>'Khan S'!D58</f>
        <v>1025.75</v>
      </c>
      <c r="H3" s="46">
        <f>'Khan S'!F58</f>
        <v>804.56879288200366</v>
      </c>
      <c r="I3" s="106">
        <f>SUM(D3:H3)</f>
        <v>1830.3187928820037</v>
      </c>
      <c r="K3" s="88">
        <v>6420.0300000000007</v>
      </c>
      <c r="L3" s="98">
        <f>SUM('Khan S'!A57:A57)</f>
        <v>0</v>
      </c>
      <c r="M3" s="98">
        <f>SUM('Khan S'!B57:B57)</f>
        <v>0</v>
      </c>
      <c r="N3" s="98">
        <f>SUM('Khan S'!C57:C57)</f>
        <v>0</v>
      </c>
      <c r="O3" s="98">
        <f>SUM('Khan S'!D57:D57)</f>
        <v>0</v>
      </c>
      <c r="P3" s="98">
        <f>SUM('Khan S'!F57:F57)</f>
        <v>0</v>
      </c>
      <c r="Q3" s="89">
        <f t="shared" ref="Q3:Q20" si="0">SUM(L3:P3)</f>
        <v>0</v>
      </c>
      <c r="R3" s="89">
        <f t="shared" ref="R3:R11" si="1">Q3+K3</f>
        <v>6420.0300000000007</v>
      </c>
      <c r="S3" s="15"/>
      <c r="T3" s="99" t="e">
        <f>R3-#REF!</f>
        <v>#REF!</v>
      </c>
      <c r="V3" s="15"/>
      <c r="W3" s="15"/>
      <c r="X3" s="15"/>
      <c r="Y3" s="15"/>
      <c r="Z3" s="15"/>
      <c r="AA3" s="15"/>
    </row>
    <row r="4" spans="1:27" s="35" customFormat="1" ht="15.4" thickBot="1">
      <c r="A4" s="47"/>
      <c r="B4" s="23"/>
      <c r="C4" s="46"/>
      <c r="D4" s="170">
        <f t="shared" ref="D4:I4" si="2">SUM(D3)</f>
        <v>0</v>
      </c>
      <c r="E4" s="170">
        <f t="shared" si="2"/>
        <v>0</v>
      </c>
      <c r="F4" s="170">
        <f t="shared" si="2"/>
        <v>0</v>
      </c>
      <c r="G4" s="170">
        <f t="shared" si="2"/>
        <v>1025.75</v>
      </c>
      <c r="H4" s="170">
        <f t="shared" si="2"/>
        <v>804.56879288200366</v>
      </c>
      <c r="I4" s="170">
        <f t="shared" si="2"/>
        <v>1830.3187928820037</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63" t="s">
        <v>293</v>
      </c>
      <c r="E1" s="564"/>
      <c r="F1" s="564"/>
      <c r="G1" s="564"/>
      <c r="H1" s="564"/>
      <c r="I1" s="564"/>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f>'Khan S'!A96</f>
        <v>0</v>
      </c>
      <c r="E3" s="274">
        <f>'Khan S'!B96</f>
        <v>0</v>
      </c>
      <c r="F3" s="274">
        <f>'Khan S'!C96</f>
        <v>0</v>
      </c>
      <c r="G3" s="274">
        <f>'Khan S'!D96</f>
        <v>803.96071428571429</v>
      </c>
      <c r="H3" s="274">
        <f>'Khan S'!F96</f>
        <v>0</v>
      </c>
      <c r="I3" s="254">
        <f>SUM(D3:H3)</f>
        <v>803.96071428571429</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f>I3-W3</f>
        <v>234</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IW196"/>
  <sheetViews>
    <sheetView tabSelected="1" topLeftCell="A139" zoomScaleNormal="100" workbookViewId="0">
      <selection activeCell="A65" sqref="A65:L65"/>
    </sheetView>
  </sheetViews>
  <sheetFormatPr defaultColWidth="9.1328125" defaultRowHeight="17.25"/>
  <cols>
    <col min="1" max="1" width="11.73046875" style="517" bestFit="1" customWidth="1"/>
    <col min="2" max="2" width="11.59765625" style="517" customWidth="1"/>
    <col min="3" max="3" width="12.86328125" style="517" customWidth="1"/>
    <col min="4" max="4" width="11" style="517" bestFit="1" customWidth="1"/>
    <col min="5" max="5" width="10.86328125" style="517" customWidth="1"/>
    <col min="6" max="6" width="13.86328125" style="517" customWidth="1"/>
    <col min="7" max="7" width="0.3984375" style="517" customWidth="1"/>
    <col min="8" max="8" width="11" style="517" bestFit="1" customWidth="1"/>
    <col min="9" max="9" width="1.1328125" style="517" customWidth="1"/>
    <col min="10" max="10" width="14.73046875" style="556" hidden="1" customWidth="1"/>
    <col min="11" max="11" width="13.59765625" style="552" bestFit="1" customWidth="1"/>
    <col min="12" max="12" width="95.265625" style="557" customWidth="1"/>
    <col min="13" max="13" width="11.265625" style="517" hidden="1" customWidth="1"/>
    <col min="14" max="14" width="11.265625" style="497" customWidth="1"/>
    <col min="15" max="15" width="16.265625" style="501" customWidth="1"/>
    <col min="16" max="16" width="8.3984375" style="497" customWidth="1"/>
    <col min="17" max="17" width="14.3984375" style="519" customWidth="1"/>
    <col min="18" max="18" width="23.3984375" style="497" bestFit="1" customWidth="1"/>
    <col min="19" max="22" width="9.1328125" style="497" customWidth="1"/>
    <col min="23" max="23" width="13.59765625" style="497" bestFit="1" customWidth="1"/>
    <col min="24" max="24" width="8" style="497" bestFit="1" customWidth="1"/>
    <col min="25" max="25" width="62.265625" style="497" customWidth="1"/>
    <col min="26" max="26" width="11.1328125" style="497" bestFit="1" customWidth="1"/>
    <col min="27" max="51" width="9.1328125" style="497"/>
    <col min="52" max="16384" width="9.1328125" style="517"/>
  </cols>
  <sheetData>
    <row r="1" spans="1:15" s="497" customFormat="1" ht="17.649999999999999" hidden="1">
      <c r="A1" s="492" t="s">
        <v>299</v>
      </c>
      <c r="B1" s="492"/>
      <c r="C1" s="492"/>
      <c r="D1" s="492"/>
      <c r="E1" s="492"/>
      <c r="F1" s="492"/>
      <c r="G1" s="493"/>
      <c r="H1" s="493"/>
      <c r="I1" s="493"/>
      <c r="J1" s="494"/>
      <c r="K1" s="495"/>
      <c r="L1" s="496"/>
      <c r="N1" s="497" t="s">
        <v>300</v>
      </c>
    </row>
    <row r="2" spans="1:15" s="493" customFormat="1" ht="17.649999999999999" hidden="1">
      <c r="A2" s="498" t="s">
        <v>301</v>
      </c>
      <c r="B2" s="498"/>
      <c r="C2" s="498"/>
      <c r="D2" s="498"/>
      <c r="E2" s="498"/>
      <c r="F2" s="498"/>
      <c r="G2" s="497"/>
      <c r="H2" s="497"/>
      <c r="I2" s="497"/>
      <c r="J2" s="499"/>
      <c r="K2" s="500"/>
      <c r="L2" s="501"/>
      <c r="N2" s="493" t="s">
        <v>302</v>
      </c>
      <c r="O2" s="493" t="s">
        <v>303</v>
      </c>
    </row>
    <row r="3" spans="1:15" s="497" customFormat="1" ht="17.649999999999999" hidden="1">
      <c r="A3" s="492" t="s">
        <v>304</v>
      </c>
      <c r="B3" s="492"/>
      <c r="C3" s="492"/>
      <c r="D3" s="492"/>
      <c r="E3" s="492"/>
      <c r="F3" s="492"/>
      <c r="G3" s="493"/>
      <c r="H3" s="493"/>
      <c r="I3" s="493"/>
      <c r="J3" s="494"/>
      <c r="K3" s="495"/>
      <c r="L3" s="496"/>
      <c r="N3" s="497" t="s">
        <v>305</v>
      </c>
      <c r="O3" s="493" t="s">
        <v>306</v>
      </c>
    </row>
    <row r="4" spans="1:15" s="497" customFormat="1" ht="17.649999999999999" hidden="1">
      <c r="A4" s="493"/>
      <c r="B4" s="493"/>
      <c r="C4" s="493"/>
      <c r="D4" s="493"/>
      <c r="E4" s="493"/>
      <c r="F4" s="493"/>
      <c r="G4" s="493"/>
      <c r="H4" s="493"/>
      <c r="I4" s="493"/>
      <c r="J4" s="494"/>
      <c r="K4" s="495"/>
      <c r="L4" s="496"/>
    </row>
    <row r="5" spans="1:15" s="497" customFormat="1" hidden="1">
      <c r="A5" s="497" t="s">
        <v>307</v>
      </c>
      <c r="C5" s="502">
        <v>42855</v>
      </c>
      <c r="J5" s="499"/>
      <c r="K5" s="500"/>
      <c r="L5" s="501"/>
    </row>
    <row r="6" spans="1:15" s="493" customFormat="1" ht="17.649999999999999" hidden="1" customHeight="1">
      <c r="A6" s="558" t="s">
        <v>308</v>
      </c>
      <c r="B6" s="558"/>
      <c r="C6" s="558"/>
      <c r="D6" s="558"/>
      <c r="E6" s="558"/>
      <c r="F6" s="558"/>
      <c r="G6" s="558"/>
      <c r="H6" s="558"/>
      <c r="I6" s="558"/>
      <c r="J6" s="558"/>
      <c r="K6" s="558"/>
      <c r="L6" s="558"/>
    </row>
    <row r="7" spans="1:15" s="493" customFormat="1" ht="17.649999999999999" hidden="1" customHeight="1">
      <c r="J7" s="494"/>
      <c r="K7" s="494"/>
    </row>
    <row r="8" spans="1:15" s="493" customFormat="1" ht="52.9" hidden="1">
      <c r="A8" s="504" t="s">
        <v>207</v>
      </c>
      <c r="B8" s="504" t="s">
        <v>208</v>
      </c>
      <c r="C8" s="504" t="s">
        <v>209</v>
      </c>
      <c r="D8" s="504" t="s">
        <v>210</v>
      </c>
      <c r="E8" s="504"/>
      <c r="F8" s="504" t="s">
        <v>212</v>
      </c>
      <c r="G8" s="504"/>
      <c r="H8" s="504" t="s">
        <v>309</v>
      </c>
      <c r="I8" s="505"/>
      <c r="J8" s="506" t="s">
        <v>310</v>
      </c>
      <c r="K8" s="507" t="s">
        <v>53</v>
      </c>
      <c r="L8" s="505" t="s">
        <v>311</v>
      </c>
    </row>
    <row r="9" spans="1:15" s="497" customFormat="1" ht="17.649999999999999" hidden="1" customHeight="1">
      <c r="C9" s="493"/>
      <c r="D9" s="497">
        <v>525.92999999999995</v>
      </c>
      <c r="F9" s="493"/>
      <c r="H9" s="497">
        <f>SUM(A9:F9)</f>
        <v>525.92999999999995</v>
      </c>
      <c r="J9" s="508" t="s">
        <v>312</v>
      </c>
      <c r="K9" s="500">
        <v>42586</v>
      </c>
      <c r="L9" s="501" t="s">
        <v>313</v>
      </c>
    </row>
    <row r="10" spans="1:15" s="497" customFormat="1" ht="17.25" hidden="1" customHeight="1">
      <c r="A10" s="509"/>
      <c r="B10" s="509"/>
      <c r="C10" s="509"/>
      <c r="D10" s="509">
        <v>244.6</v>
      </c>
      <c r="E10" s="509"/>
      <c r="F10" s="509"/>
      <c r="G10" s="509"/>
      <c r="H10" s="497">
        <f>SUM(A10:F10)</f>
        <v>244.6</v>
      </c>
      <c r="J10" s="499"/>
      <c r="K10" s="500">
        <v>42607</v>
      </c>
      <c r="L10" s="497" t="s">
        <v>314</v>
      </c>
    </row>
    <row r="11" spans="1:15" s="493" customFormat="1" ht="17.649999999999999" hidden="1" customHeight="1">
      <c r="A11" s="497"/>
      <c r="B11" s="497"/>
      <c r="C11" s="497"/>
      <c r="D11" s="497">
        <v>1697.15</v>
      </c>
      <c r="E11" s="497"/>
      <c r="F11" s="497"/>
      <c r="G11" s="510"/>
      <c r="H11" s="497">
        <f>SUM(A11:F11)</f>
        <v>1697.15</v>
      </c>
      <c r="I11" s="497"/>
      <c r="J11" s="508">
        <v>3100866831</v>
      </c>
      <c r="K11" s="500">
        <v>42562</v>
      </c>
      <c r="L11" s="501" t="s">
        <v>315</v>
      </c>
    </row>
    <row r="12" spans="1:15" s="497" customFormat="1" ht="17.649999999999999" hidden="1" customHeight="1">
      <c r="F12" s="497">
        <f>486.5+554.23</f>
        <v>1040.73</v>
      </c>
      <c r="G12" s="510"/>
      <c r="H12" s="497">
        <f>SUM(A12:F12)</f>
        <v>1040.73</v>
      </c>
      <c r="J12" s="499" t="s">
        <v>316</v>
      </c>
      <c r="K12" s="500">
        <v>42627</v>
      </c>
      <c r="L12" s="501" t="s">
        <v>317</v>
      </c>
      <c r="N12" s="497">
        <v>1021</v>
      </c>
      <c r="O12" s="493">
        <f>H12-N12</f>
        <v>19.730000000000018</v>
      </c>
    </row>
    <row r="13" spans="1:15" s="497" customFormat="1" ht="17.649999999999999" hidden="1" customHeight="1">
      <c r="A13" s="509"/>
      <c r="B13" s="509"/>
      <c r="C13" s="493"/>
      <c r="D13" s="509">
        <v>214</v>
      </c>
      <c r="E13" s="509"/>
      <c r="F13" s="509"/>
      <c r="G13" s="509"/>
      <c r="H13" s="497">
        <f>SUM(A13:F13)</f>
        <v>214</v>
      </c>
      <c r="J13" s="499" t="s">
        <v>318</v>
      </c>
      <c r="K13" s="500">
        <v>42627</v>
      </c>
      <c r="L13" s="501" t="s">
        <v>319</v>
      </c>
    </row>
    <row r="14" spans="1:15" s="497" customFormat="1" ht="17.649999999999999" hidden="1" customHeight="1">
      <c r="A14" s="509"/>
      <c r="B14" s="509"/>
      <c r="C14" s="493"/>
      <c r="D14" s="509"/>
      <c r="E14" s="509"/>
      <c r="F14" s="509"/>
      <c r="G14" s="509"/>
      <c r="J14" s="499"/>
      <c r="K14" s="500"/>
      <c r="L14" s="501"/>
      <c r="N14" s="497">
        <f>SUM(H9:H13)-O12</f>
        <v>3702.6800000000003</v>
      </c>
    </row>
    <row r="15" spans="1:15" s="497" customFormat="1" ht="17.649999999999999" hidden="1" customHeight="1">
      <c r="A15" s="509"/>
      <c r="B15" s="509"/>
      <c r="C15" s="493"/>
      <c r="D15" s="509"/>
      <c r="E15" s="509"/>
      <c r="F15" s="509">
        <f>110/5</f>
        <v>22</v>
      </c>
      <c r="G15" s="509"/>
      <c r="H15" s="497">
        <f>SUM(A15:F15)</f>
        <v>22</v>
      </c>
      <c r="J15" s="499" t="s">
        <v>320</v>
      </c>
      <c r="K15" s="511">
        <v>42633</v>
      </c>
      <c r="L15" s="501" t="s">
        <v>321</v>
      </c>
    </row>
    <row r="16" spans="1:15" s="497" customFormat="1" ht="17.25" hidden="1" customHeight="1">
      <c r="A16" s="509">
        <v>80.8</v>
      </c>
      <c r="B16" s="509"/>
      <c r="C16" s="509"/>
      <c r="D16" s="509"/>
      <c r="E16" s="509"/>
      <c r="F16" s="509"/>
      <c r="G16" s="509"/>
      <c r="H16" s="509">
        <f>SUM(A16:F16)</f>
        <v>80.8</v>
      </c>
      <c r="J16" s="508" t="s">
        <v>322</v>
      </c>
      <c r="K16" s="500">
        <v>42754</v>
      </c>
      <c r="L16" s="501" t="s">
        <v>323</v>
      </c>
    </row>
    <row r="17" spans="1:51" s="497" customFormat="1" ht="17.25" hidden="1" customHeight="1">
      <c r="A17" s="509">
        <v>53.27</v>
      </c>
      <c r="B17" s="509"/>
      <c r="C17" s="509"/>
      <c r="D17" s="509"/>
      <c r="E17" s="509"/>
      <c r="G17" s="509"/>
      <c r="H17" s="509">
        <f>SUM(A17:F17)</f>
        <v>53.27</v>
      </c>
      <c r="J17" s="508" t="s">
        <v>324</v>
      </c>
      <c r="K17" s="511">
        <v>42747</v>
      </c>
      <c r="L17" s="501" t="s">
        <v>323</v>
      </c>
    </row>
    <row r="18" spans="1:51" s="512" customFormat="1" ht="17.25" hidden="1" customHeight="1">
      <c r="A18" s="509"/>
      <c r="B18" s="509"/>
      <c r="C18" s="509"/>
      <c r="D18" s="509">
        <v>128</v>
      </c>
      <c r="E18" s="509"/>
      <c r="F18" s="509"/>
      <c r="G18" s="509"/>
      <c r="H18" s="509">
        <f>SUM(A18:F18)</f>
        <v>128</v>
      </c>
      <c r="I18" s="497"/>
      <c r="J18" s="508">
        <v>3100899505</v>
      </c>
      <c r="K18" s="500">
        <v>42754</v>
      </c>
      <c r="L18" s="497" t="s">
        <v>325</v>
      </c>
      <c r="M18" s="497"/>
      <c r="O18" s="513"/>
    </row>
    <row r="19" spans="1:51" s="512" customFormat="1" ht="17.25" hidden="1" customHeight="1">
      <c r="A19" s="509"/>
      <c r="B19" s="509"/>
      <c r="C19" s="509"/>
      <c r="D19" s="509">
        <v>170.7</v>
      </c>
      <c r="E19" s="509"/>
      <c r="F19" s="509"/>
      <c r="G19" s="509"/>
      <c r="H19" s="509">
        <f>SUM(A19:F19)</f>
        <v>170.7</v>
      </c>
      <c r="I19" s="497"/>
      <c r="J19" s="508">
        <v>3100899507</v>
      </c>
      <c r="K19" s="500">
        <v>42753</v>
      </c>
      <c r="L19" s="497" t="s">
        <v>326</v>
      </c>
      <c r="O19" s="513"/>
    </row>
    <row r="20" spans="1:51" s="512" customFormat="1" ht="17.25" hidden="1" customHeight="1">
      <c r="A20" s="509"/>
      <c r="B20" s="509"/>
      <c r="C20" s="509"/>
      <c r="D20" s="509"/>
      <c r="E20" s="509"/>
      <c r="F20" s="509"/>
      <c r="G20" s="509"/>
      <c r="H20" s="509"/>
      <c r="I20" s="497"/>
      <c r="J20" s="514"/>
      <c r="K20" s="500"/>
      <c r="L20" s="497"/>
      <c r="M20" s="497"/>
      <c r="O20" s="513"/>
    </row>
    <row r="21" spans="1:51" s="512" customFormat="1" ht="17.25" hidden="1" customHeight="1">
      <c r="A21" s="509"/>
      <c r="B21" s="509"/>
      <c r="C21" s="509"/>
      <c r="D21" s="509"/>
      <c r="E21" s="509"/>
      <c r="F21" s="509">
        <v>191.04</v>
      </c>
      <c r="G21" s="509"/>
      <c r="H21" s="509">
        <f t="shared" ref="H21:H29" si="0">SUM(A21:F21)</f>
        <v>191.04</v>
      </c>
      <c r="I21" s="497"/>
      <c r="J21" s="508" t="s">
        <v>327</v>
      </c>
      <c r="K21" s="500">
        <v>42753</v>
      </c>
      <c r="L21" s="497" t="s">
        <v>328</v>
      </c>
      <c r="M21" s="497"/>
      <c r="O21" s="513"/>
    </row>
    <row r="22" spans="1:51" s="512" customFormat="1" ht="17.25" hidden="1" customHeight="1">
      <c r="A22" s="509"/>
      <c r="B22" s="509"/>
      <c r="C22" s="509"/>
      <c r="D22" s="509">
        <v>179.75</v>
      </c>
      <c r="E22" s="509"/>
      <c r="F22" s="509"/>
      <c r="G22" s="509"/>
      <c r="H22" s="509">
        <f t="shared" si="0"/>
        <v>179.75</v>
      </c>
      <c r="I22" s="497"/>
      <c r="J22" s="508" t="s">
        <v>329</v>
      </c>
      <c r="K22" s="500">
        <v>42821</v>
      </c>
      <c r="L22" s="497" t="s">
        <v>330</v>
      </c>
      <c r="M22" s="497"/>
      <c r="O22" s="513"/>
    </row>
    <row r="23" spans="1:51" s="512" customFormat="1" ht="17.25" hidden="1" customHeight="1">
      <c r="A23" s="509"/>
      <c r="B23" s="509"/>
      <c r="C23" s="509"/>
      <c r="D23" s="509"/>
      <c r="E23" s="509"/>
      <c r="F23" s="509">
        <v>138.76</v>
      </c>
      <c r="G23" s="509"/>
      <c r="H23" s="509">
        <f t="shared" si="0"/>
        <v>138.76</v>
      </c>
      <c r="I23" s="497"/>
      <c r="J23" s="508" t="s">
        <v>329</v>
      </c>
      <c r="K23" s="500">
        <v>42821</v>
      </c>
      <c r="L23" s="497" t="s">
        <v>331</v>
      </c>
      <c r="M23" s="497"/>
      <c r="O23" s="513"/>
    </row>
    <row r="24" spans="1:51" s="512" customFormat="1" ht="17.25" hidden="1" customHeight="1">
      <c r="A24" s="509"/>
      <c r="B24" s="509"/>
      <c r="C24" s="509"/>
      <c r="D24" s="509">
        <v>64.69</v>
      </c>
      <c r="E24" s="509"/>
      <c r="F24" s="509"/>
      <c r="G24" s="509"/>
      <c r="H24" s="509">
        <f t="shared" si="0"/>
        <v>64.69</v>
      </c>
      <c r="I24" s="497"/>
      <c r="J24" s="508" t="s">
        <v>332</v>
      </c>
      <c r="K24" s="500">
        <v>42822</v>
      </c>
      <c r="L24" s="497" t="s">
        <v>333</v>
      </c>
      <c r="M24" s="497"/>
      <c r="O24" s="513"/>
    </row>
    <row r="25" spans="1:51" s="512" customFormat="1" ht="17.25" hidden="1" customHeight="1">
      <c r="A25" s="509"/>
      <c r="B25" s="509"/>
      <c r="C25" s="509"/>
      <c r="D25" s="509"/>
      <c r="E25" s="509"/>
      <c r="F25" s="509">
        <v>181.79</v>
      </c>
      <c r="G25" s="509"/>
      <c r="H25" s="509">
        <f t="shared" si="0"/>
        <v>181.79</v>
      </c>
      <c r="I25" s="497"/>
      <c r="J25" s="508" t="s">
        <v>332</v>
      </c>
      <c r="K25" s="500">
        <v>42822</v>
      </c>
      <c r="L25" s="497" t="s">
        <v>334</v>
      </c>
      <c r="M25" s="497"/>
      <c r="O25" s="513"/>
    </row>
    <row r="26" spans="1:51" s="512" customFormat="1" ht="17.25" hidden="1" customHeight="1">
      <c r="A26" s="509"/>
      <c r="B26" s="509"/>
      <c r="C26" s="509"/>
      <c r="D26" s="509">
        <v>122.6</v>
      </c>
      <c r="E26" s="509"/>
      <c r="F26" s="509"/>
      <c r="G26" s="509"/>
      <c r="H26" s="509">
        <f t="shared" si="0"/>
        <v>122.6</v>
      </c>
      <c r="I26" s="497"/>
      <c r="J26" s="508" t="s">
        <v>329</v>
      </c>
      <c r="K26" s="500">
        <v>42823</v>
      </c>
      <c r="L26" s="501" t="s">
        <v>335</v>
      </c>
      <c r="M26" s="497"/>
      <c r="O26" s="513"/>
    </row>
    <row r="27" spans="1:51" s="512" customFormat="1" ht="34.5" hidden="1" customHeight="1">
      <c r="A27" s="509"/>
      <c r="B27" s="509"/>
      <c r="C27" s="509"/>
      <c r="D27" s="509"/>
      <c r="E27" s="509"/>
      <c r="F27" s="509">
        <v>21.925999999999998</v>
      </c>
      <c r="G27" s="509"/>
      <c r="H27" s="509">
        <f t="shared" si="0"/>
        <v>21.925999999999998</v>
      </c>
      <c r="I27" s="497"/>
      <c r="J27" s="508" t="s">
        <v>329</v>
      </c>
      <c r="K27" s="500">
        <v>42821</v>
      </c>
      <c r="L27" s="501" t="s">
        <v>336</v>
      </c>
      <c r="M27" s="497"/>
      <c r="O27" s="515"/>
      <c r="P27" s="497"/>
      <c r="Q27" s="501"/>
    </row>
    <row r="28" spans="1:51" s="512" customFormat="1" ht="34.5" hidden="1" customHeight="1">
      <c r="A28" s="509"/>
      <c r="B28" s="509"/>
      <c r="C28" s="509"/>
      <c r="D28" s="509"/>
      <c r="E28" s="509"/>
      <c r="F28" s="509">
        <v>18.532</v>
      </c>
      <c r="G28" s="509"/>
      <c r="H28" s="509">
        <f t="shared" si="0"/>
        <v>18.532</v>
      </c>
      <c r="I28" s="497"/>
      <c r="J28" s="508" t="s">
        <v>329</v>
      </c>
      <c r="K28" s="500">
        <v>42822</v>
      </c>
      <c r="L28" s="501" t="s">
        <v>337</v>
      </c>
      <c r="M28" s="497"/>
      <c r="O28" s="515"/>
      <c r="P28" s="497"/>
      <c r="Q28" s="501"/>
    </row>
    <row r="29" spans="1:51" s="512" customFormat="1" ht="34.5" hidden="1" customHeight="1">
      <c r="A29" s="509"/>
      <c r="B29" s="509"/>
      <c r="C29" s="509"/>
      <c r="D29" s="509"/>
      <c r="E29" s="509"/>
      <c r="F29" s="509">
        <v>21.588000000000001</v>
      </c>
      <c r="G29" s="509"/>
      <c r="H29" s="509">
        <f t="shared" si="0"/>
        <v>21.588000000000001</v>
      </c>
      <c r="I29" s="497"/>
      <c r="J29" s="508" t="s">
        <v>329</v>
      </c>
      <c r="K29" s="500">
        <v>42823</v>
      </c>
      <c r="L29" s="501" t="s">
        <v>338</v>
      </c>
      <c r="M29" s="497"/>
      <c r="O29" s="515"/>
      <c r="P29" s="497"/>
      <c r="Q29" s="501"/>
    </row>
    <row r="30" spans="1:51" s="497" customFormat="1" ht="17.649999999999999" hidden="1" customHeight="1">
      <c r="A30" s="509"/>
      <c r="B30" s="509"/>
      <c r="C30" s="493"/>
      <c r="D30" s="509"/>
      <c r="E30" s="509"/>
      <c r="F30" s="509"/>
      <c r="G30" s="509"/>
      <c r="H30" s="509"/>
      <c r="J30" s="499"/>
      <c r="K30" s="500"/>
      <c r="L30" s="501"/>
    </row>
    <row r="31" spans="1:51" s="497" customFormat="1" ht="18" hidden="1" thickBot="1">
      <c r="A31" s="516">
        <f t="shared" ref="A31:H31" si="1">SUM(A9:A30)</f>
        <v>134.07</v>
      </c>
      <c r="B31" s="516">
        <f t="shared" si="1"/>
        <v>0</v>
      </c>
      <c r="C31" s="516">
        <f t="shared" si="1"/>
        <v>0</v>
      </c>
      <c r="D31" s="516">
        <f t="shared" si="1"/>
        <v>3347.42</v>
      </c>
      <c r="E31" s="516"/>
      <c r="F31" s="516">
        <f t="shared" si="1"/>
        <v>1636.3659999999998</v>
      </c>
      <c r="G31" s="516">
        <f t="shared" si="1"/>
        <v>0</v>
      </c>
      <c r="H31" s="516">
        <f t="shared" si="1"/>
        <v>5117.8560000000007</v>
      </c>
      <c r="J31" s="499"/>
      <c r="K31" s="500"/>
      <c r="L31" s="501"/>
    </row>
    <row r="32" spans="1:51" hidden="1">
      <c r="A32" s="497"/>
      <c r="B32" s="497"/>
      <c r="C32" s="497"/>
      <c r="D32" s="497"/>
      <c r="E32" s="497"/>
      <c r="F32" s="497"/>
      <c r="G32" s="497"/>
      <c r="H32" s="497"/>
      <c r="I32" s="497"/>
      <c r="J32" s="499"/>
      <c r="K32" s="500"/>
      <c r="L32" s="501"/>
      <c r="M32" s="497"/>
      <c r="O32" s="497"/>
      <c r="Q32" s="497"/>
      <c r="AE32" s="517"/>
      <c r="AF32" s="517"/>
      <c r="AG32" s="517"/>
      <c r="AH32" s="517"/>
      <c r="AI32" s="517"/>
      <c r="AJ32" s="517"/>
      <c r="AK32" s="517"/>
      <c r="AL32" s="517"/>
      <c r="AM32" s="517"/>
      <c r="AN32" s="517"/>
      <c r="AO32" s="517"/>
      <c r="AP32" s="517"/>
      <c r="AQ32" s="517"/>
      <c r="AR32" s="517"/>
      <c r="AS32" s="517"/>
      <c r="AT32" s="517"/>
      <c r="AU32" s="517"/>
      <c r="AV32" s="517"/>
      <c r="AW32" s="517"/>
      <c r="AX32" s="517"/>
      <c r="AY32" s="517"/>
    </row>
    <row r="33" spans="1:257" s="497" customFormat="1" ht="17.649999999999999" hidden="1">
      <c r="A33" s="518" t="s">
        <v>299</v>
      </c>
      <c r="B33" s="518"/>
      <c r="C33" s="518"/>
      <c r="D33" s="518"/>
      <c r="E33" s="518"/>
      <c r="F33" s="518"/>
      <c r="G33" s="493"/>
      <c r="H33" s="493"/>
      <c r="I33" s="493"/>
      <c r="J33" s="494"/>
      <c r="K33" s="495"/>
      <c r="L33" s="496"/>
      <c r="O33" s="501"/>
      <c r="Q33" s="519"/>
    </row>
    <row r="34" spans="1:257" s="497" customFormat="1" ht="17.649999999999999" hidden="1">
      <c r="A34" s="520" t="s">
        <v>301</v>
      </c>
      <c r="B34" s="520"/>
      <c r="C34" s="520"/>
      <c r="D34" s="520"/>
      <c r="E34" s="520"/>
      <c r="F34" s="520"/>
      <c r="J34" s="499"/>
      <c r="K34" s="500"/>
      <c r="L34" s="501"/>
      <c r="M34" s="493"/>
      <c r="N34" s="493"/>
      <c r="O34" s="496"/>
      <c r="P34" s="493"/>
      <c r="Q34" s="521"/>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3"/>
      <c r="AU34" s="493"/>
      <c r="AV34" s="493"/>
      <c r="AW34" s="493"/>
      <c r="AX34" s="493"/>
      <c r="AY34" s="493"/>
      <c r="AZ34" s="493"/>
      <c r="BA34" s="493"/>
      <c r="BB34" s="493"/>
      <c r="BC34" s="493"/>
      <c r="BD34" s="493"/>
      <c r="BE34" s="493"/>
      <c r="BF34" s="493"/>
      <c r="BG34" s="493"/>
      <c r="BH34" s="493"/>
      <c r="BI34" s="493"/>
      <c r="BJ34" s="493"/>
      <c r="BK34" s="493"/>
      <c r="BL34" s="493"/>
      <c r="BM34" s="493"/>
      <c r="BN34" s="493"/>
      <c r="BO34" s="493"/>
      <c r="BP34" s="493"/>
      <c r="BQ34" s="493"/>
      <c r="BR34" s="493"/>
      <c r="BS34" s="493"/>
      <c r="BT34" s="493"/>
      <c r="BU34" s="493"/>
      <c r="BV34" s="493"/>
      <c r="BW34" s="493"/>
      <c r="BX34" s="493"/>
      <c r="BY34" s="493"/>
      <c r="BZ34" s="493"/>
      <c r="CA34" s="493"/>
      <c r="CB34" s="493"/>
      <c r="CC34" s="493"/>
      <c r="CD34" s="493"/>
      <c r="CE34" s="493"/>
      <c r="CF34" s="493"/>
      <c r="CG34" s="493"/>
      <c r="CH34" s="493"/>
      <c r="CI34" s="493"/>
      <c r="CJ34" s="493"/>
      <c r="CK34" s="493"/>
      <c r="CL34" s="493"/>
      <c r="CM34" s="493"/>
      <c r="CN34" s="493"/>
      <c r="CO34" s="493"/>
      <c r="CP34" s="493"/>
      <c r="CQ34" s="493"/>
      <c r="CR34" s="493"/>
      <c r="CS34" s="493"/>
      <c r="CT34" s="493"/>
      <c r="CU34" s="493"/>
      <c r="CV34" s="493"/>
      <c r="CW34" s="493"/>
      <c r="CX34" s="493"/>
      <c r="CY34" s="493"/>
      <c r="CZ34" s="493"/>
      <c r="DA34" s="493"/>
      <c r="DB34" s="493"/>
      <c r="DC34" s="493"/>
      <c r="DD34" s="493"/>
      <c r="DE34" s="493"/>
      <c r="DF34" s="493"/>
      <c r="DG34" s="493"/>
      <c r="DH34" s="493"/>
      <c r="DI34" s="493"/>
      <c r="DJ34" s="493"/>
      <c r="DK34" s="493"/>
      <c r="DL34" s="493"/>
      <c r="DM34" s="493"/>
      <c r="DN34" s="493"/>
      <c r="DO34" s="493"/>
      <c r="DP34" s="493"/>
      <c r="DQ34" s="493"/>
      <c r="DR34" s="493"/>
      <c r="DS34" s="493"/>
      <c r="DT34" s="493"/>
      <c r="DU34" s="493"/>
      <c r="DV34" s="493"/>
      <c r="DW34" s="493"/>
      <c r="DX34" s="493"/>
      <c r="DY34" s="493"/>
      <c r="DZ34" s="493"/>
      <c r="EA34" s="493"/>
      <c r="EB34" s="493"/>
      <c r="EC34" s="493"/>
      <c r="ED34" s="493"/>
      <c r="EE34" s="493"/>
      <c r="EF34" s="493"/>
      <c r="EG34" s="493"/>
      <c r="EH34" s="493"/>
      <c r="EI34" s="493"/>
      <c r="EJ34" s="493"/>
      <c r="EK34" s="493"/>
      <c r="EL34" s="493"/>
      <c r="EM34" s="493"/>
      <c r="EN34" s="493"/>
      <c r="EO34" s="493"/>
      <c r="EP34" s="493"/>
      <c r="EQ34" s="493"/>
      <c r="ER34" s="493"/>
      <c r="ES34" s="493"/>
      <c r="ET34" s="493"/>
      <c r="EU34" s="493"/>
      <c r="EV34" s="493"/>
      <c r="EW34" s="493"/>
      <c r="EX34" s="493"/>
      <c r="EY34" s="493"/>
      <c r="EZ34" s="493"/>
      <c r="FA34" s="493"/>
      <c r="FB34" s="493"/>
      <c r="FC34" s="493"/>
      <c r="FD34" s="493"/>
      <c r="FE34" s="493"/>
      <c r="FF34" s="493"/>
      <c r="FG34" s="493"/>
      <c r="FH34" s="493"/>
      <c r="FI34" s="493"/>
      <c r="FJ34" s="493"/>
      <c r="FK34" s="493"/>
      <c r="FL34" s="493"/>
      <c r="FM34" s="493"/>
      <c r="FN34" s="493"/>
      <c r="FO34" s="493"/>
      <c r="FP34" s="493"/>
      <c r="FQ34" s="493"/>
      <c r="FR34" s="493"/>
      <c r="FS34" s="493"/>
      <c r="FT34" s="493"/>
      <c r="FU34" s="493"/>
      <c r="FV34" s="493"/>
      <c r="FW34" s="493"/>
      <c r="FX34" s="493"/>
      <c r="FY34" s="493"/>
      <c r="FZ34" s="493"/>
      <c r="GA34" s="493"/>
      <c r="GB34" s="493"/>
      <c r="GC34" s="493"/>
      <c r="GD34" s="493"/>
      <c r="GE34" s="493"/>
      <c r="GF34" s="493"/>
      <c r="GG34" s="493"/>
      <c r="GH34" s="493"/>
      <c r="GI34" s="493"/>
      <c r="GJ34" s="493"/>
      <c r="GK34" s="493"/>
      <c r="GL34" s="493"/>
      <c r="GM34" s="493"/>
      <c r="GN34" s="493"/>
      <c r="GO34" s="493"/>
      <c r="GP34" s="493"/>
      <c r="GQ34" s="493"/>
      <c r="GR34" s="493"/>
      <c r="GS34" s="493"/>
      <c r="GT34" s="493"/>
      <c r="GU34" s="493"/>
      <c r="GV34" s="493"/>
      <c r="GW34" s="493"/>
      <c r="GX34" s="493"/>
      <c r="GY34" s="493"/>
      <c r="GZ34" s="493"/>
      <c r="HA34" s="493"/>
      <c r="HB34" s="493"/>
      <c r="HC34" s="493"/>
      <c r="HD34" s="493"/>
      <c r="HE34" s="493"/>
      <c r="HF34" s="493"/>
      <c r="HG34" s="493"/>
      <c r="HH34" s="493"/>
      <c r="HI34" s="493"/>
      <c r="HJ34" s="493"/>
      <c r="HK34" s="493"/>
      <c r="HL34" s="493"/>
      <c r="HM34" s="493"/>
      <c r="HN34" s="493"/>
      <c r="HO34" s="493"/>
      <c r="HP34" s="493"/>
      <c r="HQ34" s="493"/>
      <c r="HR34" s="493"/>
      <c r="HS34" s="493"/>
      <c r="HT34" s="493"/>
      <c r="HU34" s="493"/>
      <c r="HV34" s="493"/>
      <c r="HW34" s="493"/>
      <c r="HX34" s="493"/>
      <c r="HY34" s="493"/>
      <c r="HZ34" s="493"/>
      <c r="IA34" s="493"/>
      <c r="IB34" s="493"/>
      <c r="IC34" s="493"/>
      <c r="ID34" s="493"/>
      <c r="IE34" s="493"/>
      <c r="IF34" s="493"/>
      <c r="IG34" s="493"/>
      <c r="IH34" s="493"/>
      <c r="II34" s="493"/>
      <c r="IJ34" s="493"/>
      <c r="IK34" s="493"/>
      <c r="IL34" s="493"/>
      <c r="IM34" s="493"/>
      <c r="IN34" s="493"/>
      <c r="IO34" s="493"/>
      <c r="IP34" s="493"/>
      <c r="IQ34" s="493"/>
      <c r="IR34" s="493"/>
      <c r="IS34" s="493"/>
      <c r="IT34" s="493"/>
      <c r="IU34" s="493"/>
      <c r="IV34" s="493"/>
      <c r="IW34" s="493"/>
    </row>
    <row r="35" spans="1:257" s="497" customFormat="1" ht="17.649999999999999" hidden="1">
      <c r="A35" s="518" t="s">
        <v>339</v>
      </c>
      <c r="B35" s="518"/>
      <c r="C35" s="518"/>
      <c r="D35" s="518"/>
      <c r="E35" s="518"/>
      <c r="F35" s="518"/>
      <c r="G35" s="493"/>
      <c r="H35" s="493"/>
      <c r="I35" s="493"/>
      <c r="J35" s="494"/>
      <c r="K35" s="495"/>
      <c r="L35" s="496"/>
      <c r="O35" s="501"/>
      <c r="Q35" s="519"/>
    </row>
    <row r="36" spans="1:257" s="497" customFormat="1" ht="17.649999999999999" hidden="1" customHeight="1">
      <c r="A36" s="493"/>
      <c r="B36" s="493"/>
      <c r="C36" s="493"/>
      <c r="D36" s="493"/>
      <c r="E36" s="493"/>
      <c r="F36" s="493"/>
      <c r="G36" s="493"/>
      <c r="H36" s="493"/>
      <c r="I36" s="493"/>
      <c r="J36" s="494"/>
      <c r="K36" s="495"/>
      <c r="L36" s="496"/>
      <c r="O36" s="501"/>
      <c r="Q36" s="519"/>
    </row>
    <row r="37" spans="1:257" s="497" customFormat="1" ht="17.25" hidden="1" customHeight="1">
      <c r="A37" s="497" t="s">
        <v>307</v>
      </c>
      <c r="C37" s="502">
        <v>43190</v>
      </c>
      <c r="J37" s="499"/>
      <c r="K37" s="500"/>
      <c r="L37" s="501"/>
      <c r="O37" s="501"/>
      <c r="Q37" s="519"/>
    </row>
    <row r="38" spans="1:257" s="497" customFormat="1" ht="17.649999999999999" hidden="1" customHeight="1">
      <c r="A38" s="558" t="s">
        <v>308</v>
      </c>
      <c r="B38" s="558"/>
      <c r="C38" s="558"/>
      <c r="D38" s="558"/>
      <c r="E38" s="558"/>
      <c r="F38" s="558"/>
      <c r="G38" s="558"/>
      <c r="H38" s="558"/>
      <c r="I38" s="558"/>
      <c r="J38" s="558"/>
      <c r="K38" s="558"/>
      <c r="L38" s="558"/>
      <c r="M38" s="493"/>
      <c r="N38" s="493"/>
      <c r="O38" s="496"/>
      <c r="P38" s="493"/>
      <c r="Q38" s="521"/>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3"/>
      <c r="BM38" s="493"/>
      <c r="BN38" s="493"/>
      <c r="BO38" s="493"/>
      <c r="BP38" s="493"/>
      <c r="BQ38" s="493"/>
      <c r="BR38" s="493"/>
      <c r="BS38" s="493"/>
      <c r="BT38" s="493"/>
      <c r="BU38" s="493"/>
      <c r="BV38" s="493"/>
      <c r="BW38" s="493"/>
      <c r="BX38" s="493"/>
      <c r="BY38" s="493"/>
      <c r="BZ38" s="493"/>
      <c r="CA38" s="493"/>
      <c r="CB38" s="493"/>
      <c r="CC38" s="493"/>
      <c r="CD38" s="493"/>
      <c r="CE38" s="493"/>
      <c r="CF38" s="493"/>
      <c r="CG38" s="493"/>
      <c r="CH38" s="493"/>
      <c r="CI38" s="493"/>
      <c r="CJ38" s="493"/>
      <c r="CK38" s="493"/>
      <c r="CL38" s="493"/>
      <c r="CM38" s="493"/>
      <c r="CN38" s="493"/>
      <c r="CO38" s="493"/>
      <c r="CP38" s="493"/>
      <c r="CQ38" s="493"/>
      <c r="CR38" s="493"/>
      <c r="CS38" s="493"/>
      <c r="CT38" s="493"/>
      <c r="CU38" s="493"/>
      <c r="CV38" s="493"/>
      <c r="CW38" s="493"/>
      <c r="CX38" s="493"/>
      <c r="CY38" s="493"/>
      <c r="CZ38" s="493"/>
      <c r="DA38" s="493"/>
      <c r="DB38" s="493"/>
      <c r="DC38" s="493"/>
      <c r="DD38" s="493"/>
      <c r="DE38" s="493"/>
      <c r="DF38" s="493"/>
      <c r="DG38" s="493"/>
      <c r="DH38" s="493"/>
      <c r="DI38" s="493"/>
      <c r="DJ38" s="493"/>
      <c r="DK38" s="493"/>
      <c r="DL38" s="493"/>
      <c r="DM38" s="493"/>
      <c r="DN38" s="493"/>
      <c r="DO38" s="493"/>
      <c r="DP38" s="493"/>
      <c r="DQ38" s="493"/>
      <c r="DR38" s="493"/>
      <c r="DS38" s="493"/>
      <c r="DT38" s="493"/>
      <c r="DU38" s="493"/>
      <c r="DV38" s="493"/>
      <c r="DW38" s="493"/>
      <c r="DX38" s="493"/>
      <c r="DY38" s="493"/>
      <c r="DZ38" s="493"/>
      <c r="EA38" s="493"/>
      <c r="EB38" s="493"/>
      <c r="EC38" s="493"/>
      <c r="ED38" s="493"/>
      <c r="EE38" s="493"/>
      <c r="EF38" s="493"/>
      <c r="EG38" s="493"/>
      <c r="EH38" s="493"/>
      <c r="EI38" s="493"/>
      <c r="EJ38" s="493"/>
      <c r="EK38" s="493"/>
      <c r="EL38" s="493"/>
      <c r="EM38" s="493"/>
      <c r="EN38" s="493"/>
      <c r="EO38" s="493"/>
      <c r="EP38" s="493"/>
      <c r="EQ38" s="493"/>
      <c r="ER38" s="493"/>
      <c r="ES38" s="493"/>
      <c r="ET38" s="493"/>
      <c r="EU38" s="493"/>
      <c r="EV38" s="493"/>
      <c r="EW38" s="493"/>
      <c r="EX38" s="493"/>
      <c r="EY38" s="493"/>
      <c r="EZ38" s="493"/>
      <c r="FA38" s="493"/>
      <c r="FB38" s="493"/>
      <c r="FC38" s="493"/>
      <c r="FD38" s="493"/>
      <c r="FE38" s="493"/>
      <c r="FF38" s="493"/>
      <c r="FG38" s="493"/>
      <c r="FH38" s="493"/>
      <c r="FI38" s="493"/>
      <c r="FJ38" s="493"/>
      <c r="FK38" s="493"/>
      <c r="FL38" s="493"/>
      <c r="FM38" s="493"/>
      <c r="FN38" s="493"/>
      <c r="FO38" s="493"/>
      <c r="FP38" s="493"/>
      <c r="FQ38" s="493"/>
      <c r="FR38" s="493"/>
      <c r="FS38" s="493"/>
      <c r="FT38" s="493"/>
      <c r="FU38" s="493"/>
      <c r="FV38" s="493"/>
      <c r="FW38" s="493"/>
      <c r="FX38" s="493"/>
      <c r="FY38" s="493"/>
      <c r="FZ38" s="493"/>
      <c r="GA38" s="493"/>
      <c r="GB38" s="493"/>
      <c r="GC38" s="493"/>
      <c r="GD38" s="493"/>
      <c r="GE38" s="493"/>
      <c r="GF38" s="493"/>
      <c r="GG38" s="493"/>
      <c r="GH38" s="493"/>
      <c r="GI38" s="493"/>
      <c r="GJ38" s="493"/>
      <c r="GK38" s="493"/>
      <c r="GL38" s="493"/>
      <c r="GM38" s="493"/>
      <c r="GN38" s="493"/>
      <c r="GO38" s="493"/>
      <c r="GP38" s="493"/>
      <c r="GQ38" s="493"/>
      <c r="GR38" s="493"/>
      <c r="GS38" s="493"/>
      <c r="GT38" s="493"/>
      <c r="GU38" s="493"/>
      <c r="GV38" s="493"/>
      <c r="GW38" s="493"/>
      <c r="GX38" s="493"/>
      <c r="GY38" s="493"/>
      <c r="GZ38" s="493"/>
      <c r="HA38" s="493"/>
      <c r="HB38" s="493"/>
      <c r="HC38" s="493"/>
      <c r="HD38" s="493"/>
      <c r="HE38" s="493"/>
      <c r="HF38" s="493"/>
      <c r="HG38" s="493"/>
      <c r="HH38" s="493"/>
      <c r="HI38" s="493"/>
      <c r="HJ38" s="493"/>
      <c r="HK38" s="493"/>
      <c r="HL38" s="493"/>
      <c r="HM38" s="493"/>
      <c r="HN38" s="493"/>
      <c r="HO38" s="493"/>
      <c r="HP38" s="493"/>
      <c r="HQ38" s="493"/>
      <c r="HR38" s="493"/>
      <c r="HS38" s="493"/>
      <c r="HT38" s="493"/>
      <c r="HU38" s="493"/>
      <c r="HV38" s="493"/>
      <c r="HW38" s="493"/>
      <c r="HX38" s="493"/>
      <c r="HY38" s="493"/>
      <c r="HZ38" s="493"/>
      <c r="IA38" s="493"/>
      <c r="IB38" s="493"/>
      <c r="IC38" s="493"/>
      <c r="ID38" s="493"/>
      <c r="IE38" s="493"/>
      <c r="IF38" s="493"/>
      <c r="IG38" s="493"/>
      <c r="IH38" s="493"/>
      <c r="II38" s="493"/>
      <c r="IJ38" s="493"/>
      <c r="IK38" s="493"/>
      <c r="IL38" s="493"/>
      <c r="IM38" s="493"/>
      <c r="IN38" s="493"/>
      <c r="IO38" s="493"/>
      <c r="IP38" s="493"/>
      <c r="IQ38" s="493"/>
      <c r="IR38" s="493"/>
      <c r="IS38" s="493"/>
      <c r="IT38" s="493"/>
      <c r="IU38" s="493"/>
      <c r="IV38" s="493"/>
      <c r="IW38" s="493"/>
    </row>
    <row r="39" spans="1:257" s="497" customFormat="1" ht="17.649999999999999" hidden="1">
      <c r="A39" s="493"/>
      <c r="B39" s="493"/>
      <c r="C39" s="493"/>
      <c r="D39" s="493"/>
      <c r="E39" s="493"/>
      <c r="F39" s="493"/>
      <c r="G39" s="493"/>
      <c r="H39" s="493"/>
      <c r="I39" s="493"/>
      <c r="J39" s="494"/>
      <c r="K39" s="494"/>
      <c r="L39" s="493"/>
      <c r="M39" s="493"/>
      <c r="N39" s="493"/>
      <c r="O39" s="496"/>
      <c r="P39" s="493"/>
      <c r="Q39" s="521"/>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3"/>
      <c r="AU39" s="493"/>
      <c r="AV39" s="493"/>
      <c r="AW39" s="493"/>
      <c r="AX39" s="493"/>
      <c r="AY39" s="493"/>
      <c r="AZ39" s="493"/>
      <c r="BA39" s="493"/>
      <c r="BB39" s="493"/>
      <c r="BC39" s="493"/>
      <c r="BD39" s="493"/>
      <c r="BE39" s="493"/>
      <c r="BF39" s="493"/>
      <c r="BG39" s="493"/>
      <c r="BH39" s="493"/>
      <c r="BI39" s="493"/>
      <c r="BJ39" s="493"/>
      <c r="BK39" s="493"/>
      <c r="BL39" s="493"/>
      <c r="BM39" s="493"/>
      <c r="BN39" s="493"/>
      <c r="BO39" s="493"/>
      <c r="BP39" s="493"/>
      <c r="BQ39" s="493"/>
      <c r="BR39" s="493"/>
      <c r="BS39" s="493"/>
      <c r="BT39" s="493"/>
      <c r="BU39" s="493"/>
      <c r="BV39" s="493"/>
      <c r="BW39" s="493"/>
      <c r="BX39" s="493"/>
      <c r="BY39" s="493"/>
      <c r="BZ39" s="493"/>
      <c r="CA39" s="493"/>
      <c r="CB39" s="493"/>
      <c r="CC39" s="493"/>
      <c r="CD39" s="493"/>
      <c r="CE39" s="493"/>
      <c r="CF39" s="493"/>
      <c r="CG39" s="493"/>
      <c r="CH39" s="493"/>
      <c r="CI39" s="493"/>
      <c r="CJ39" s="493"/>
      <c r="CK39" s="493"/>
      <c r="CL39" s="493"/>
      <c r="CM39" s="493"/>
      <c r="CN39" s="493"/>
      <c r="CO39" s="493"/>
      <c r="CP39" s="493"/>
      <c r="CQ39" s="493"/>
      <c r="CR39" s="493"/>
      <c r="CS39" s="493"/>
      <c r="CT39" s="493"/>
      <c r="CU39" s="493"/>
      <c r="CV39" s="493"/>
      <c r="CW39" s="493"/>
      <c r="CX39" s="493"/>
      <c r="CY39" s="493"/>
      <c r="CZ39" s="493"/>
      <c r="DA39" s="493"/>
      <c r="DB39" s="493"/>
      <c r="DC39" s="493"/>
      <c r="DD39" s="493"/>
      <c r="DE39" s="493"/>
      <c r="DF39" s="493"/>
      <c r="DG39" s="493"/>
      <c r="DH39" s="493"/>
      <c r="DI39" s="493"/>
      <c r="DJ39" s="493"/>
      <c r="DK39" s="493"/>
      <c r="DL39" s="493"/>
      <c r="DM39" s="493"/>
      <c r="DN39" s="493"/>
      <c r="DO39" s="493"/>
      <c r="DP39" s="493"/>
      <c r="DQ39" s="493"/>
      <c r="DR39" s="493"/>
      <c r="DS39" s="493"/>
      <c r="DT39" s="493"/>
      <c r="DU39" s="493"/>
      <c r="DV39" s="493"/>
      <c r="DW39" s="493"/>
      <c r="DX39" s="493"/>
      <c r="DY39" s="493"/>
      <c r="DZ39" s="493"/>
      <c r="EA39" s="493"/>
      <c r="EB39" s="493"/>
      <c r="EC39" s="493"/>
      <c r="ED39" s="493"/>
      <c r="EE39" s="493"/>
      <c r="EF39" s="493"/>
      <c r="EG39" s="493"/>
      <c r="EH39" s="493"/>
      <c r="EI39" s="493"/>
      <c r="EJ39" s="493"/>
      <c r="EK39" s="493"/>
      <c r="EL39" s="493"/>
      <c r="EM39" s="493"/>
      <c r="EN39" s="493"/>
      <c r="EO39" s="493"/>
      <c r="EP39" s="493"/>
      <c r="EQ39" s="493"/>
      <c r="ER39" s="493"/>
      <c r="ES39" s="493"/>
      <c r="ET39" s="493"/>
      <c r="EU39" s="493"/>
      <c r="EV39" s="493"/>
      <c r="EW39" s="493"/>
      <c r="EX39" s="493"/>
      <c r="EY39" s="493"/>
      <c r="EZ39" s="493"/>
      <c r="FA39" s="493"/>
      <c r="FB39" s="493"/>
      <c r="FC39" s="493"/>
      <c r="FD39" s="493"/>
      <c r="FE39" s="493"/>
      <c r="FF39" s="493"/>
      <c r="FG39" s="493"/>
      <c r="FH39" s="493"/>
      <c r="FI39" s="493"/>
      <c r="FJ39" s="493"/>
      <c r="FK39" s="493"/>
      <c r="FL39" s="493"/>
      <c r="FM39" s="493"/>
      <c r="FN39" s="493"/>
      <c r="FO39" s="493"/>
      <c r="FP39" s="493"/>
      <c r="FQ39" s="493"/>
      <c r="FR39" s="493"/>
      <c r="FS39" s="493"/>
      <c r="FT39" s="493"/>
      <c r="FU39" s="493"/>
      <c r="FV39" s="493"/>
      <c r="FW39" s="493"/>
      <c r="FX39" s="493"/>
      <c r="FY39" s="493"/>
      <c r="FZ39" s="493"/>
      <c r="GA39" s="493"/>
      <c r="GB39" s="493"/>
      <c r="GC39" s="493"/>
      <c r="GD39" s="493"/>
      <c r="GE39" s="493"/>
      <c r="GF39" s="493"/>
      <c r="GG39" s="493"/>
      <c r="GH39" s="493"/>
      <c r="GI39" s="493"/>
      <c r="GJ39" s="493"/>
      <c r="GK39" s="493"/>
      <c r="GL39" s="493"/>
      <c r="GM39" s="493"/>
      <c r="GN39" s="493"/>
      <c r="GO39" s="493"/>
      <c r="GP39" s="493"/>
      <c r="GQ39" s="493"/>
      <c r="GR39" s="493"/>
      <c r="GS39" s="493"/>
      <c r="GT39" s="493"/>
      <c r="GU39" s="493"/>
      <c r="GV39" s="493"/>
      <c r="GW39" s="493"/>
      <c r="GX39" s="493"/>
      <c r="GY39" s="493"/>
      <c r="GZ39" s="493"/>
      <c r="HA39" s="493"/>
      <c r="HB39" s="493"/>
      <c r="HC39" s="493"/>
      <c r="HD39" s="493"/>
      <c r="HE39" s="493"/>
      <c r="HF39" s="493"/>
      <c r="HG39" s="493"/>
      <c r="HH39" s="493"/>
      <c r="HI39" s="493"/>
      <c r="HJ39" s="493"/>
      <c r="HK39" s="493"/>
      <c r="HL39" s="493"/>
      <c r="HM39" s="493"/>
      <c r="HN39" s="493"/>
      <c r="HO39" s="493"/>
      <c r="HP39" s="493"/>
      <c r="HQ39" s="493"/>
      <c r="HR39" s="493"/>
      <c r="HS39" s="493"/>
      <c r="HT39" s="493"/>
      <c r="HU39" s="493"/>
      <c r="HV39" s="493"/>
      <c r="HW39" s="493"/>
      <c r="HX39" s="493"/>
      <c r="HY39" s="493"/>
      <c r="HZ39" s="493"/>
      <c r="IA39" s="493"/>
      <c r="IB39" s="493"/>
      <c r="IC39" s="493"/>
      <c r="ID39" s="493"/>
      <c r="IE39" s="493"/>
      <c r="IF39" s="493"/>
      <c r="IG39" s="493"/>
      <c r="IH39" s="493"/>
      <c r="II39" s="493"/>
      <c r="IJ39" s="493"/>
      <c r="IK39" s="493"/>
      <c r="IL39" s="493"/>
      <c r="IM39" s="493"/>
      <c r="IN39" s="493"/>
      <c r="IO39" s="493"/>
      <c r="IP39" s="493"/>
      <c r="IQ39" s="493"/>
      <c r="IR39" s="493"/>
      <c r="IS39" s="493"/>
      <c r="IT39" s="493"/>
      <c r="IU39" s="493"/>
      <c r="IV39" s="493"/>
      <c r="IW39" s="493"/>
    </row>
    <row r="40" spans="1:257" s="497" customFormat="1" ht="52.9" hidden="1">
      <c r="A40" s="504" t="s">
        <v>207</v>
      </c>
      <c r="B40" s="504" t="s">
        <v>208</v>
      </c>
      <c r="C40" s="504" t="s">
        <v>209</v>
      </c>
      <c r="D40" s="504" t="s">
        <v>210</v>
      </c>
      <c r="E40" s="504"/>
      <c r="F40" s="504" t="s">
        <v>212</v>
      </c>
      <c r="G40" s="504"/>
      <c r="H40" s="504" t="s">
        <v>309</v>
      </c>
      <c r="I40" s="505"/>
      <c r="J40" s="506" t="s">
        <v>310</v>
      </c>
      <c r="K40" s="507" t="s">
        <v>53</v>
      </c>
      <c r="L40" s="505" t="s">
        <v>311</v>
      </c>
      <c r="M40" s="493"/>
      <c r="N40" s="493"/>
      <c r="O40" s="496"/>
      <c r="P40" s="496" t="s">
        <v>340</v>
      </c>
      <c r="Q40" s="522" t="s">
        <v>341</v>
      </c>
      <c r="R40" s="496" t="s">
        <v>342</v>
      </c>
      <c r="S40" s="493"/>
      <c r="T40" s="493"/>
      <c r="U40" s="493"/>
      <c r="V40" s="493"/>
      <c r="W40" s="493"/>
      <c r="X40" s="493"/>
      <c r="Y40" s="493"/>
      <c r="Z40" s="493"/>
      <c r="AA40" s="493"/>
      <c r="AB40" s="493"/>
      <c r="AC40" s="493"/>
      <c r="AD40" s="493"/>
      <c r="AE40" s="493"/>
      <c r="AF40" s="493"/>
      <c r="AG40" s="493"/>
      <c r="AH40" s="493"/>
      <c r="AI40" s="493"/>
      <c r="AJ40" s="493"/>
      <c r="AK40" s="493"/>
      <c r="AL40" s="493"/>
      <c r="AM40" s="493"/>
      <c r="AN40" s="493"/>
      <c r="AO40" s="493"/>
      <c r="AP40" s="493"/>
      <c r="AQ40" s="493"/>
      <c r="AR40" s="493"/>
      <c r="AS40" s="493"/>
      <c r="AT40" s="493"/>
      <c r="AU40" s="493"/>
      <c r="AV40" s="493"/>
      <c r="AW40" s="493"/>
      <c r="AX40" s="493"/>
      <c r="AY40" s="493"/>
      <c r="AZ40" s="493"/>
      <c r="BA40" s="493"/>
      <c r="BB40" s="493"/>
      <c r="BC40" s="493"/>
      <c r="BD40" s="493"/>
      <c r="BE40" s="493"/>
      <c r="BF40" s="493"/>
      <c r="BG40" s="493"/>
      <c r="BH40" s="493"/>
      <c r="BI40" s="493"/>
      <c r="BJ40" s="493"/>
      <c r="BK40" s="493"/>
      <c r="BL40" s="493"/>
      <c r="BM40" s="493"/>
      <c r="BN40" s="493"/>
      <c r="BO40" s="493"/>
      <c r="BP40" s="493"/>
      <c r="BQ40" s="493"/>
      <c r="BR40" s="493"/>
      <c r="BS40" s="493"/>
      <c r="BT40" s="493"/>
      <c r="BU40" s="493"/>
      <c r="BV40" s="493"/>
      <c r="BW40" s="493"/>
      <c r="BX40" s="493"/>
      <c r="BY40" s="493"/>
      <c r="BZ40" s="493"/>
      <c r="CA40" s="493"/>
      <c r="CB40" s="493"/>
      <c r="CC40" s="493"/>
      <c r="CD40" s="493"/>
      <c r="CE40" s="493"/>
      <c r="CF40" s="493"/>
      <c r="CG40" s="493"/>
      <c r="CH40" s="493"/>
      <c r="CI40" s="493"/>
      <c r="CJ40" s="493"/>
      <c r="CK40" s="493"/>
      <c r="CL40" s="493"/>
      <c r="CM40" s="493"/>
      <c r="CN40" s="493"/>
      <c r="CO40" s="493"/>
      <c r="CP40" s="493"/>
      <c r="CQ40" s="493"/>
      <c r="CR40" s="493"/>
      <c r="CS40" s="493"/>
      <c r="CT40" s="493"/>
      <c r="CU40" s="493"/>
      <c r="CV40" s="493"/>
      <c r="CW40" s="493"/>
      <c r="CX40" s="493"/>
      <c r="CY40" s="493"/>
      <c r="CZ40" s="493"/>
      <c r="DA40" s="493"/>
      <c r="DB40" s="493"/>
      <c r="DC40" s="493"/>
      <c r="DD40" s="493"/>
      <c r="DE40" s="493"/>
      <c r="DF40" s="493"/>
      <c r="DG40" s="493"/>
      <c r="DH40" s="493"/>
      <c r="DI40" s="493"/>
      <c r="DJ40" s="493"/>
      <c r="DK40" s="493"/>
      <c r="DL40" s="493"/>
      <c r="DM40" s="493"/>
      <c r="DN40" s="493"/>
      <c r="DO40" s="493"/>
      <c r="DP40" s="493"/>
      <c r="DQ40" s="493"/>
      <c r="DR40" s="493"/>
      <c r="DS40" s="493"/>
      <c r="DT40" s="493"/>
      <c r="DU40" s="493"/>
      <c r="DV40" s="493"/>
      <c r="DW40" s="493"/>
      <c r="DX40" s="493"/>
      <c r="DY40" s="493"/>
      <c r="DZ40" s="493"/>
      <c r="EA40" s="493"/>
      <c r="EB40" s="493"/>
      <c r="EC40" s="493"/>
      <c r="ED40" s="493"/>
      <c r="EE40" s="493"/>
      <c r="EF40" s="493"/>
      <c r="EG40" s="493"/>
      <c r="EH40" s="493"/>
      <c r="EI40" s="493"/>
      <c r="EJ40" s="493"/>
      <c r="EK40" s="493"/>
      <c r="EL40" s="493"/>
      <c r="EM40" s="493"/>
      <c r="EN40" s="493"/>
      <c r="EO40" s="493"/>
      <c r="EP40" s="493"/>
      <c r="EQ40" s="493"/>
      <c r="ER40" s="493"/>
      <c r="ES40" s="493"/>
      <c r="ET40" s="493"/>
      <c r="EU40" s="493"/>
      <c r="EV40" s="493"/>
      <c r="EW40" s="493"/>
      <c r="EX40" s="493"/>
      <c r="EY40" s="493"/>
      <c r="EZ40" s="493"/>
      <c r="FA40" s="493"/>
      <c r="FB40" s="493"/>
      <c r="FC40" s="493"/>
      <c r="FD40" s="493"/>
      <c r="FE40" s="493"/>
      <c r="FF40" s="493"/>
      <c r="FG40" s="493"/>
      <c r="FH40" s="493"/>
      <c r="FI40" s="493"/>
      <c r="FJ40" s="493"/>
      <c r="FK40" s="493"/>
      <c r="FL40" s="493"/>
      <c r="FM40" s="493"/>
      <c r="FN40" s="493"/>
      <c r="FO40" s="493"/>
      <c r="FP40" s="493"/>
      <c r="FQ40" s="493"/>
      <c r="FR40" s="493"/>
      <c r="FS40" s="493"/>
      <c r="FT40" s="493"/>
      <c r="FU40" s="493"/>
      <c r="FV40" s="493"/>
      <c r="FW40" s="493"/>
      <c r="FX40" s="493"/>
      <c r="FY40" s="493"/>
      <c r="FZ40" s="493"/>
      <c r="GA40" s="493"/>
      <c r="GB40" s="493"/>
      <c r="GC40" s="493"/>
      <c r="GD40" s="493"/>
      <c r="GE40" s="493"/>
      <c r="GF40" s="493"/>
      <c r="GG40" s="493"/>
      <c r="GH40" s="493"/>
      <c r="GI40" s="493"/>
      <c r="GJ40" s="493"/>
      <c r="GK40" s="493"/>
      <c r="GL40" s="493"/>
      <c r="GM40" s="493"/>
      <c r="GN40" s="493"/>
      <c r="GO40" s="493"/>
      <c r="GP40" s="493"/>
      <c r="GQ40" s="493"/>
      <c r="GR40" s="493"/>
      <c r="GS40" s="493"/>
      <c r="GT40" s="493"/>
      <c r="GU40" s="493"/>
      <c r="GV40" s="493"/>
      <c r="GW40" s="493"/>
      <c r="GX40" s="493"/>
      <c r="GY40" s="493"/>
      <c r="GZ40" s="493"/>
      <c r="HA40" s="493"/>
      <c r="HB40" s="493"/>
      <c r="HC40" s="493"/>
      <c r="HD40" s="493"/>
      <c r="HE40" s="493"/>
      <c r="HF40" s="493"/>
      <c r="HG40" s="493"/>
      <c r="HH40" s="493"/>
      <c r="HI40" s="493"/>
      <c r="HJ40" s="493"/>
      <c r="HK40" s="493"/>
      <c r="HL40" s="493"/>
      <c r="HM40" s="493"/>
      <c r="HN40" s="493"/>
      <c r="HO40" s="493"/>
      <c r="HP40" s="493"/>
      <c r="HQ40" s="493"/>
      <c r="HR40" s="493"/>
      <c r="HS40" s="493"/>
      <c r="HT40" s="493"/>
      <c r="HU40" s="493"/>
      <c r="HV40" s="493"/>
      <c r="HW40" s="493"/>
      <c r="HX40" s="493"/>
      <c r="HY40" s="493"/>
      <c r="HZ40" s="493"/>
      <c r="IA40" s="493"/>
      <c r="IB40" s="493"/>
      <c r="IC40" s="493"/>
      <c r="ID40" s="493"/>
      <c r="IE40" s="493"/>
      <c r="IF40" s="493"/>
      <c r="IG40" s="493"/>
      <c r="IH40" s="493"/>
      <c r="II40" s="493"/>
      <c r="IJ40" s="493"/>
      <c r="IK40" s="493"/>
      <c r="IL40" s="493"/>
      <c r="IM40" s="493"/>
      <c r="IN40" s="493"/>
      <c r="IO40" s="493"/>
      <c r="IP40" s="493"/>
      <c r="IQ40" s="493"/>
      <c r="IR40" s="493"/>
      <c r="IS40" s="493"/>
      <c r="IT40" s="493"/>
      <c r="IU40" s="493"/>
      <c r="IV40" s="493"/>
      <c r="IW40" s="493"/>
    </row>
    <row r="41" spans="1:257" s="512" customFormat="1" ht="17.649999999999999" hidden="1">
      <c r="A41" s="509"/>
      <c r="B41" s="509"/>
      <c r="C41" s="509"/>
      <c r="D41" s="509">
        <f>808/5</f>
        <v>161.6</v>
      </c>
      <c r="E41" s="509"/>
      <c r="F41" s="509"/>
      <c r="G41" s="509"/>
      <c r="H41" s="523">
        <f t="shared" ref="H41:H57" si="2">SUM(A41:F41)</f>
        <v>161.6</v>
      </c>
      <c r="I41" s="497"/>
      <c r="J41" s="508" t="s">
        <v>343</v>
      </c>
      <c r="K41" s="500">
        <v>43031</v>
      </c>
      <c r="L41" s="501" t="s">
        <v>344</v>
      </c>
      <c r="M41" s="524" t="s">
        <v>345</v>
      </c>
      <c r="O41" s="501"/>
      <c r="P41" s="497"/>
      <c r="Q41" s="519"/>
      <c r="R41" s="497"/>
      <c r="S41" s="497"/>
      <c r="T41" s="497"/>
      <c r="U41" s="497"/>
    </row>
    <row r="42" spans="1:257" s="497" customFormat="1" ht="34.9" hidden="1">
      <c r="A42" s="509"/>
      <c r="B42" s="509"/>
      <c r="C42" s="509"/>
      <c r="D42" s="509"/>
      <c r="E42" s="509"/>
      <c r="F42" s="509">
        <f>20/2</f>
        <v>10</v>
      </c>
      <c r="G42" s="509"/>
      <c r="H42" s="523">
        <f t="shared" si="2"/>
        <v>10</v>
      </c>
      <c r="J42" s="508" t="s">
        <v>343</v>
      </c>
      <c r="K42" s="500">
        <v>43039</v>
      </c>
      <c r="L42" s="501" t="s">
        <v>346</v>
      </c>
      <c r="M42" s="524" t="s">
        <v>345</v>
      </c>
      <c r="N42" s="512"/>
      <c r="O42" s="501"/>
      <c r="Q42" s="519"/>
      <c r="V42" s="512"/>
      <c r="W42" s="512"/>
      <c r="X42" s="512"/>
      <c r="Y42" s="512"/>
      <c r="Z42" s="512"/>
      <c r="AA42" s="512"/>
      <c r="AB42" s="512"/>
      <c r="AC42" s="512"/>
      <c r="AD42" s="512"/>
      <c r="AE42" s="512"/>
      <c r="AF42" s="512"/>
      <c r="AG42" s="51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12"/>
      <c r="IK42" s="512"/>
      <c r="IL42" s="512"/>
      <c r="IM42" s="512"/>
      <c r="IN42" s="512"/>
      <c r="IO42" s="512"/>
      <c r="IP42" s="512"/>
      <c r="IQ42" s="512"/>
      <c r="IR42" s="512"/>
      <c r="IS42" s="512"/>
      <c r="IT42" s="512"/>
      <c r="IU42" s="512"/>
      <c r="IV42" s="512"/>
      <c r="IW42" s="512"/>
    </row>
    <row r="43" spans="1:257" s="497" customFormat="1" ht="17.649999999999999" hidden="1" customHeight="1">
      <c r="A43" s="509"/>
      <c r="B43" s="509"/>
      <c r="C43" s="509"/>
      <c r="D43" s="509"/>
      <c r="E43" s="509"/>
      <c r="F43" s="509">
        <v>175.88</v>
      </c>
      <c r="G43" s="509"/>
      <c r="H43" s="523">
        <f t="shared" si="2"/>
        <v>175.88</v>
      </c>
      <c r="J43" s="508" t="s">
        <v>343</v>
      </c>
      <c r="K43" s="500">
        <v>43034</v>
      </c>
      <c r="L43" s="501" t="s">
        <v>347</v>
      </c>
      <c r="M43" s="524" t="s">
        <v>345</v>
      </c>
      <c r="N43" s="512"/>
      <c r="O43" s="501"/>
      <c r="Q43" s="519"/>
      <c r="V43" s="512"/>
      <c r="W43" s="512"/>
      <c r="X43" s="512"/>
      <c r="Y43" s="512"/>
      <c r="Z43" s="512"/>
      <c r="AA43" s="512"/>
      <c r="AB43" s="512"/>
      <c r="AC43" s="512"/>
      <c r="AD43" s="512"/>
      <c r="AE43" s="512"/>
      <c r="AF43" s="512"/>
      <c r="AG43" s="51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12"/>
      <c r="IK43" s="512"/>
      <c r="IL43" s="512"/>
      <c r="IM43" s="512"/>
      <c r="IN43" s="512"/>
      <c r="IO43" s="512"/>
      <c r="IP43" s="512"/>
      <c r="IQ43" s="512"/>
      <c r="IR43" s="512"/>
      <c r="IS43" s="512"/>
      <c r="IT43" s="512"/>
      <c r="IU43" s="512"/>
      <c r="IV43" s="512"/>
      <c r="IW43" s="512"/>
    </row>
    <row r="44" spans="1:257" s="497" customFormat="1" ht="17.649999999999999" hidden="1">
      <c r="A44" s="509"/>
      <c r="B44" s="509"/>
      <c r="C44" s="509"/>
      <c r="D44" s="509"/>
      <c r="E44" s="509"/>
      <c r="F44" s="509">
        <v>106.6</v>
      </c>
      <c r="G44" s="509"/>
      <c r="H44" s="523">
        <f t="shared" si="2"/>
        <v>106.6</v>
      </c>
      <c r="J44" s="508" t="s">
        <v>343</v>
      </c>
      <c r="K44" s="500">
        <v>43039</v>
      </c>
      <c r="L44" s="501" t="s">
        <v>348</v>
      </c>
      <c r="M44" s="524" t="s">
        <v>345</v>
      </c>
      <c r="N44" s="512"/>
      <c r="O44" s="501"/>
      <c r="Q44" s="519"/>
      <c r="V44" s="512"/>
      <c r="W44" s="512"/>
      <c r="X44" s="512"/>
      <c r="Y44" s="512"/>
      <c r="Z44" s="512"/>
      <c r="AA44" s="512"/>
      <c r="AB44" s="512"/>
      <c r="AC44" s="512"/>
      <c r="AD44" s="512"/>
      <c r="AE44" s="512"/>
      <c r="AF44" s="512"/>
      <c r="AG44" s="51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12"/>
      <c r="IK44" s="512"/>
      <c r="IL44" s="512"/>
      <c r="IM44" s="512"/>
      <c r="IN44" s="512"/>
      <c r="IO44" s="512"/>
      <c r="IP44" s="512"/>
      <c r="IQ44" s="512"/>
      <c r="IR44" s="512"/>
      <c r="IS44" s="512"/>
      <c r="IT44" s="512"/>
      <c r="IU44" s="512"/>
      <c r="IV44" s="512"/>
      <c r="IW44" s="512"/>
    </row>
    <row r="45" spans="1:257" s="510" customFormat="1" ht="34.9" hidden="1">
      <c r="A45" s="509"/>
      <c r="B45" s="509"/>
      <c r="C45" s="509"/>
      <c r="D45" s="509">
        <v>125.88</v>
      </c>
      <c r="E45" s="509"/>
      <c r="F45" s="509"/>
      <c r="G45" s="509"/>
      <c r="H45" s="523">
        <f t="shared" si="2"/>
        <v>125.88</v>
      </c>
      <c r="I45" s="497"/>
      <c r="J45" s="508" t="s">
        <v>349</v>
      </c>
      <c r="K45" s="500">
        <v>43076</v>
      </c>
      <c r="L45" s="501" t="s">
        <v>350</v>
      </c>
      <c r="M45" s="524" t="s">
        <v>351</v>
      </c>
      <c r="N45" s="512"/>
      <c r="O45" s="501"/>
      <c r="P45" s="497"/>
      <c r="Q45" s="519"/>
      <c r="R45" s="497"/>
      <c r="S45" s="497"/>
      <c r="T45" s="497"/>
      <c r="U45" s="497"/>
      <c r="V45" s="512"/>
      <c r="W45" s="512"/>
      <c r="X45" s="512"/>
      <c r="Y45" s="512"/>
      <c r="Z45" s="512"/>
      <c r="AA45" s="512"/>
      <c r="AB45" s="512"/>
      <c r="AC45" s="512"/>
      <c r="AD45" s="512"/>
      <c r="AE45" s="512"/>
      <c r="AF45" s="512"/>
      <c r="AG45" s="51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12"/>
      <c r="IK45" s="512"/>
      <c r="IL45" s="512"/>
      <c r="IM45" s="512"/>
      <c r="IN45" s="512"/>
      <c r="IO45" s="512"/>
      <c r="IP45" s="512"/>
      <c r="IQ45" s="512"/>
      <c r="IR45" s="512"/>
      <c r="IS45" s="512"/>
      <c r="IT45" s="512"/>
      <c r="IU45" s="512"/>
      <c r="IV45" s="512"/>
      <c r="IW45" s="512"/>
    </row>
    <row r="46" spans="1:257" ht="35.25" hidden="1">
      <c r="A46" s="509"/>
      <c r="B46" s="509"/>
      <c r="C46" s="509"/>
      <c r="D46" s="509">
        <f>2007.18/14</f>
        <v>143.37</v>
      </c>
      <c r="E46" s="509"/>
      <c r="F46" s="509"/>
      <c r="G46" s="509"/>
      <c r="H46" s="523">
        <f t="shared" si="2"/>
        <v>143.37</v>
      </c>
      <c r="I46" s="497"/>
      <c r="J46" s="508" t="s">
        <v>352</v>
      </c>
      <c r="K46" s="500">
        <v>43071</v>
      </c>
      <c r="L46" s="501" t="s">
        <v>353</v>
      </c>
      <c r="M46" s="524" t="s">
        <v>351</v>
      </c>
      <c r="N46" s="512"/>
      <c r="O46" s="525" t="s">
        <v>354</v>
      </c>
      <c r="P46" s="497">
        <v>2007.18</v>
      </c>
      <c r="Q46" s="519">
        <v>14</v>
      </c>
      <c r="R46" s="497">
        <f>P46/Q46</f>
        <v>143.37</v>
      </c>
      <c r="V46" s="512"/>
      <c r="W46" s="512"/>
      <c r="X46" s="512"/>
      <c r="Y46" s="512"/>
      <c r="Z46" s="512"/>
      <c r="AA46" s="512"/>
      <c r="AB46" s="512"/>
      <c r="AC46" s="512"/>
      <c r="AD46" s="512"/>
      <c r="AE46" s="512"/>
      <c r="AF46" s="512"/>
      <c r="AG46" s="51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12"/>
      <c r="IK46" s="512"/>
      <c r="IL46" s="512"/>
      <c r="IM46" s="512"/>
      <c r="IN46" s="512"/>
      <c r="IO46" s="512"/>
      <c r="IP46" s="512"/>
      <c r="IQ46" s="512"/>
      <c r="IR46" s="512"/>
      <c r="IS46" s="512"/>
      <c r="IT46" s="512"/>
      <c r="IU46" s="512"/>
      <c r="IV46" s="512"/>
      <c r="IW46" s="512"/>
    </row>
    <row r="47" spans="1:257" ht="54" hidden="1">
      <c r="A47" s="509"/>
      <c r="B47" s="509"/>
      <c r="C47" s="509"/>
      <c r="D47" s="509"/>
      <c r="E47" s="509"/>
      <c r="F47" s="509">
        <f>270720/83.301793/18*2</f>
        <v>361.09666931178776</v>
      </c>
      <c r="G47" s="509"/>
      <c r="H47" s="523">
        <f t="shared" si="2"/>
        <v>361.09666931178776</v>
      </c>
      <c r="I47" s="497"/>
      <c r="J47" s="508" t="s">
        <v>352</v>
      </c>
      <c r="K47" s="500">
        <v>43071</v>
      </c>
      <c r="L47" s="501" t="s">
        <v>355</v>
      </c>
      <c r="M47" s="524" t="s">
        <v>351</v>
      </c>
      <c r="N47" s="512"/>
      <c r="O47" s="525" t="s">
        <v>356</v>
      </c>
      <c r="P47" s="497">
        <v>3249.87</v>
      </c>
      <c r="Q47" s="519">
        <v>18</v>
      </c>
      <c r="R47" s="497">
        <f>P47/Q47</f>
        <v>180.54833333333332</v>
      </c>
      <c r="S47" s="497">
        <f>R47*2</f>
        <v>361.09666666666664</v>
      </c>
      <c r="T47" s="512"/>
      <c r="U47" s="512"/>
      <c r="V47" s="497">
        <f>11750*1.28/83.301793</f>
        <v>180.54833465589388</v>
      </c>
      <c r="W47" s="497">
        <f>270720/18</f>
        <v>15040</v>
      </c>
      <c r="X47" s="512"/>
      <c r="Y47" s="512"/>
      <c r="Z47" s="512"/>
      <c r="AA47" s="512"/>
      <c r="AB47" s="512"/>
      <c r="AC47" s="512"/>
      <c r="AD47" s="512"/>
      <c r="AE47" s="512"/>
      <c r="AF47" s="512"/>
      <c r="AG47" s="51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12"/>
      <c r="IK47" s="512"/>
      <c r="IL47" s="512"/>
      <c r="IM47" s="512"/>
      <c r="IN47" s="512"/>
      <c r="IO47" s="512"/>
      <c r="IP47" s="512"/>
      <c r="IQ47" s="512"/>
      <c r="IR47" s="512"/>
      <c r="IS47" s="512"/>
      <c r="IT47" s="512"/>
      <c r="IU47" s="512"/>
      <c r="IV47" s="512"/>
      <c r="IW47" s="512"/>
    </row>
    <row r="48" spans="1:257" ht="18" hidden="1">
      <c r="A48" s="509"/>
      <c r="B48" s="509"/>
      <c r="C48" s="509"/>
      <c r="D48" s="509"/>
      <c r="E48" s="509"/>
      <c r="F48" s="509">
        <f>28000/84.101763/8+28000/83.412774/8</f>
        <v>83.576250101492519</v>
      </c>
      <c r="G48" s="509"/>
      <c r="H48" s="523">
        <f t="shared" si="2"/>
        <v>83.576250101492519</v>
      </c>
      <c r="I48" s="497"/>
      <c r="J48" s="508" t="s">
        <v>352</v>
      </c>
      <c r="K48" s="500">
        <v>43074</v>
      </c>
      <c r="L48" s="501" t="s">
        <v>357</v>
      </c>
      <c r="M48" s="524" t="s">
        <v>351</v>
      </c>
      <c r="N48" s="512"/>
      <c r="O48" s="525" t="s">
        <v>358</v>
      </c>
      <c r="P48" s="497">
        <v>332.93</v>
      </c>
      <c r="Q48" s="519">
        <v>8</v>
      </c>
      <c r="R48" s="497">
        <f>P48/Q48</f>
        <v>41.616250000000001</v>
      </c>
      <c r="S48" s="497">
        <f>335.68/8</f>
        <v>41.96</v>
      </c>
      <c r="T48" s="497">
        <f>R48+S48</f>
        <v>83.576250000000002</v>
      </c>
      <c r="V48" s="512"/>
      <c r="W48" s="512"/>
      <c r="X48" s="512"/>
      <c r="Y48" s="512"/>
      <c r="Z48" s="512"/>
      <c r="AA48" s="512"/>
      <c r="AB48" s="512"/>
      <c r="AC48" s="512"/>
      <c r="AD48" s="512"/>
      <c r="AE48" s="512"/>
      <c r="AF48" s="512"/>
      <c r="AG48" s="51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12"/>
      <c r="IK48" s="512"/>
      <c r="IL48" s="512"/>
      <c r="IM48" s="512"/>
      <c r="IN48" s="512"/>
      <c r="IO48" s="512"/>
      <c r="IP48" s="512"/>
      <c r="IQ48" s="512"/>
      <c r="IR48" s="512"/>
      <c r="IS48" s="512"/>
      <c r="IT48" s="512"/>
      <c r="IU48" s="512"/>
      <c r="IV48" s="512"/>
      <c r="IW48" s="512"/>
    </row>
    <row r="49" spans="1:257" ht="54" hidden="1">
      <c r="A49" s="509"/>
      <c r="B49" s="509"/>
      <c r="C49" s="509"/>
      <c r="D49" s="509"/>
      <c r="E49" s="509"/>
      <c r="F49" s="509">
        <f>(1150+195+121.05+121.05)/83.41433</f>
        <v>19.026706802056669</v>
      </c>
      <c r="G49" s="509"/>
      <c r="H49" s="523">
        <f t="shared" si="2"/>
        <v>19.026706802056669</v>
      </c>
      <c r="I49" s="497"/>
      <c r="J49" s="508" t="s">
        <v>352</v>
      </c>
      <c r="K49" s="500">
        <v>43072</v>
      </c>
      <c r="L49" s="501" t="s">
        <v>359</v>
      </c>
      <c r="M49" s="524" t="s">
        <v>351</v>
      </c>
      <c r="N49" s="512"/>
      <c r="O49" s="525" t="s">
        <v>356</v>
      </c>
      <c r="P49" s="509"/>
      <c r="V49" s="512"/>
      <c r="W49" s="512"/>
      <c r="X49" s="512"/>
      <c r="Y49" s="512"/>
      <c r="Z49" s="512"/>
      <c r="AA49" s="512"/>
      <c r="AB49" s="512"/>
      <c r="AC49" s="512"/>
      <c r="AD49" s="512"/>
      <c r="AE49" s="512"/>
      <c r="AF49" s="512"/>
      <c r="AG49" s="51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12"/>
      <c r="IK49" s="512"/>
      <c r="IL49" s="512"/>
      <c r="IM49" s="512"/>
      <c r="IN49" s="512"/>
      <c r="IO49" s="512"/>
      <c r="IP49" s="512"/>
      <c r="IQ49" s="512"/>
      <c r="IR49" s="512"/>
      <c r="IS49" s="512"/>
      <c r="IT49" s="512"/>
      <c r="IU49" s="512"/>
      <c r="IV49" s="512"/>
      <c r="IW49" s="512"/>
    </row>
    <row r="50" spans="1:257" ht="17.649999999999999" hidden="1">
      <c r="A50" s="509"/>
      <c r="B50" s="509"/>
      <c r="C50" s="509"/>
      <c r="D50" s="509"/>
      <c r="E50" s="509"/>
      <c r="F50" s="509">
        <v>-167.52</v>
      </c>
      <c r="G50" s="509"/>
      <c r="H50" s="523">
        <f t="shared" si="2"/>
        <v>-167.52</v>
      </c>
      <c r="I50" s="497"/>
      <c r="J50" s="508" t="s">
        <v>360</v>
      </c>
      <c r="K50" s="500">
        <v>43049</v>
      </c>
      <c r="L50" s="501" t="s">
        <v>361</v>
      </c>
      <c r="M50" s="524" t="s">
        <v>351</v>
      </c>
      <c r="N50" s="512"/>
      <c r="O50" s="526"/>
      <c r="V50" s="512"/>
      <c r="W50" s="512"/>
      <c r="X50" s="512"/>
      <c r="Y50" s="512"/>
      <c r="Z50" s="512"/>
      <c r="AA50" s="512"/>
      <c r="AB50" s="512"/>
      <c r="AC50" s="512"/>
      <c r="AD50" s="512"/>
      <c r="AE50" s="512"/>
      <c r="AF50" s="512"/>
      <c r="AG50" s="51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12"/>
      <c r="IK50" s="512"/>
      <c r="IL50" s="512"/>
      <c r="IM50" s="512"/>
      <c r="IN50" s="512"/>
      <c r="IO50" s="512"/>
      <c r="IP50" s="512"/>
      <c r="IQ50" s="512"/>
      <c r="IR50" s="512"/>
      <c r="IS50" s="512"/>
      <c r="IT50" s="512"/>
      <c r="IU50" s="512"/>
      <c r="IV50" s="512"/>
      <c r="IW50" s="512"/>
    </row>
    <row r="51" spans="1:257" ht="36" hidden="1">
      <c r="A51" s="509"/>
      <c r="B51" s="509"/>
      <c r="C51" s="509"/>
      <c r="D51" s="509"/>
      <c r="E51" s="509"/>
      <c r="F51" s="509">
        <f>1139.75/8</f>
        <v>142.46875</v>
      </c>
      <c r="G51" s="509"/>
      <c r="H51" s="523">
        <f t="shared" si="2"/>
        <v>142.46875</v>
      </c>
      <c r="I51" s="497"/>
      <c r="J51" s="508" t="s">
        <v>360</v>
      </c>
      <c r="K51" s="500">
        <v>43073</v>
      </c>
      <c r="L51" s="501" t="s">
        <v>362</v>
      </c>
      <c r="M51" s="524" t="s">
        <v>351</v>
      </c>
      <c r="N51" s="512"/>
      <c r="O51" s="525" t="s">
        <v>363</v>
      </c>
      <c r="V51" s="512"/>
      <c r="W51" s="512"/>
      <c r="X51" s="512"/>
      <c r="Y51" s="512"/>
      <c r="Z51" s="512"/>
      <c r="AA51" s="512"/>
      <c r="AB51" s="512"/>
      <c r="AC51" s="512"/>
      <c r="AD51" s="512"/>
      <c r="AE51" s="512"/>
      <c r="AF51" s="512"/>
      <c r="AG51" s="51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12"/>
      <c r="IK51" s="512"/>
      <c r="IL51" s="512"/>
      <c r="IM51" s="512"/>
      <c r="IN51" s="512"/>
      <c r="IO51" s="512"/>
      <c r="IP51" s="512"/>
      <c r="IQ51" s="512"/>
      <c r="IR51" s="512"/>
      <c r="IS51" s="512"/>
      <c r="IT51" s="512"/>
      <c r="IU51" s="512"/>
      <c r="IV51" s="512"/>
      <c r="IW51" s="512"/>
    </row>
    <row r="52" spans="1:257" ht="36" hidden="1">
      <c r="A52" s="509"/>
      <c r="B52" s="509"/>
      <c r="C52" s="509"/>
      <c r="D52" s="509"/>
      <c r="E52" s="509"/>
      <c r="F52" s="509">
        <f>161.95/8</f>
        <v>20.243749999999999</v>
      </c>
      <c r="G52" s="509"/>
      <c r="H52" s="523">
        <f t="shared" si="2"/>
        <v>20.243749999999999</v>
      </c>
      <c r="I52" s="497"/>
      <c r="J52" s="508" t="s">
        <v>364</v>
      </c>
      <c r="K52" s="500">
        <v>43073</v>
      </c>
      <c r="L52" s="501" t="s">
        <v>365</v>
      </c>
      <c r="M52" s="524" t="s">
        <v>366</v>
      </c>
      <c r="N52" s="512"/>
      <c r="O52" s="525" t="s">
        <v>363</v>
      </c>
      <c r="V52" s="512"/>
      <c r="W52" s="512"/>
      <c r="X52" s="512"/>
      <c r="Y52" s="512"/>
      <c r="Z52" s="512"/>
      <c r="AA52" s="512"/>
      <c r="AB52" s="512"/>
      <c r="AC52" s="512"/>
      <c r="AD52" s="512"/>
      <c r="AE52" s="512"/>
      <c r="AF52" s="512"/>
      <c r="AG52" s="51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12"/>
      <c r="IK52" s="512"/>
      <c r="IL52" s="512"/>
      <c r="IM52" s="512"/>
      <c r="IN52" s="512"/>
      <c r="IO52" s="512"/>
      <c r="IP52" s="512"/>
      <c r="IQ52" s="512"/>
      <c r="IR52" s="512"/>
      <c r="IS52" s="512"/>
      <c r="IT52" s="512"/>
      <c r="IU52" s="512"/>
      <c r="IV52" s="512"/>
      <c r="IW52" s="512"/>
    </row>
    <row r="53" spans="1:257" ht="17.649999999999999" hidden="1">
      <c r="A53" s="509"/>
      <c r="B53" s="509"/>
      <c r="C53" s="509"/>
      <c r="D53" s="509"/>
      <c r="E53" s="509"/>
      <c r="F53" s="509">
        <f>103.11/4</f>
        <v>25.7775</v>
      </c>
      <c r="G53" s="509"/>
      <c r="H53" s="523">
        <f t="shared" si="2"/>
        <v>25.7775</v>
      </c>
      <c r="I53" s="497"/>
      <c r="J53" s="508" t="s">
        <v>367</v>
      </c>
      <c r="K53" s="500">
        <v>76042</v>
      </c>
      <c r="L53" s="501" t="s">
        <v>368</v>
      </c>
      <c r="M53" s="524" t="s">
        <v>369</v>
      </c>
      <c r="N53" s="512"/>
      <c r="O53" s="526"/>
      <c r="V53" s="512"/>
      <c r="W53" s="512"/>
      <c r="X53" s="512"/>
      <c r="Y53" s="512"/>
      <c r="Z53" s="512"/>
      <c r="AA53" s="512"/>
      <c r="AB53" s="512"/>
      <c r="AC53" s="512"/>
      <c r="AD53" s="512"/>
      <c r="AE53" s="512"/>
      <c r="AF53" s="512"/>
      <c r="AG53" s="51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12"/>
      <c r="IK53" s="512"/>
      <c r="IL53" s="512"/>
      <c r="IM53" s="512"/>
      <c r="IN53" s="512"/>
      <c r="IO53" s="512"/>
      <c r="IP53" s="512"/>
      <c r="IQ53" s="512"/>
      <c r="IR53" s="512"/>
      <c r="IS53" s="512"/>
      <c r="IT53" s="512"/>
      <c r="IU53" s="512"/>
      <c r="IV53" s="512"/>
      <c r="IW53" s="512"/>
    </row>
    <row r="54" spans="1:257" ht="17.649999999999999" hidden="1">
      <c r="A54" s="509"/>
      <c r="B54" s="509"/>
      <c r="C54" s="509"/>
      <c r="D54" s="509"/>
      <c r="E54" s="509"/>
      <c r="F54" s="509">
        <f>86.2/6</f>
        <v>14.366666666666667</v>
      </c>
      <c r="G54" s="509"/>
      <c r="H54" s="523">
        <f t="shared" si="2"/>
        <v>14.366666666666667</v>
      </c>
      <c r="I54" s="497"/>
      <c r="J54" s="508" t="s">
        <v>367</v>
      </c>
      <c r="K54" s="500">
        <v>43169</v>
      </c>
      <c r="L54" s="501" t="s">
        <v>368</v>
      </c>
      <c r="M54" s="524" t="s">
        <v>369</v>
      </c>
      <c r="N54" s="512"/>
      <c r="O54" s="526"/>
      <c r="V54" s="512"/>
      <c r="W54" s="512"/>
      <c r="X54" s="512"/>
      <c r="Y54" s="512"/>
      <c r="Z54" s="512"/>
      <c r="AA54" s="512"/>
      <c r="AB54" s="512"/>
      <c r="AC54" s="512"/>
      <c r="AD54" s="512"/>
      <c r="AE54" s="512"/>
      <c r="AF54" s="512"/>
      <c r="AG54" s="51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12"/>
      <c r="IK54" s="512"/>
      <c r="IL54" s="512"/>
      <c r="IM54" s="512"/>
      <c r="IN54" s="512"/>
      <c r="IO54" s="512"/>
      <c r="IP54" s="512"/>
      <c r="IQ54" s="512"/>
      <c r="IR54" s="512"/>
      <c r="IS54" s="512"/>
      <c r="IT54" s="512"/>
      <c r="IU54" s="512"/>
      <c r="IV54" s="512"/>
      <c r="IW54" s="512"/>
    </row>
    <row r="55" spans="1:257" ht="17.649999999999999" hidden="1">
      <c r="A55" s="509"/>
      <c r="B55" s="509"/>
      <c r="C55" s="509"/>
      <c r="D55" s="509"/>
      <c r="E55" s="509"/>
      <c r="F55" s="509">
        <f>52.21/4</f>
        <v>13.0525</v>
      </c>
      <c r="G55" s="509"/>
      <c r="H55" s="523">
        <f t="shared" si="2"/>
        <v>13.0525</v>
      </c>
      <c r="I55" s="497"/>
      <c r="J55" s="508" t="s">
        <v>367</v>
      </c>
      <c r="K55" s="500">
        <v>43169</v>
      </c>
      <c r="L55" s="501" t="s">
        <v>368</v>
      </c>
      <c r="M55" s="524" t="s">
        <v>369</v>
      </c>
      <c r="N55" s="512"/>
      <c r="O55" s="526"/>
      <c r="V55" s="512"/>
      <c r="W55" s="512"/>
      <c r="X55" s="512"/>
      <c r="Y55" s="512"/>
      <c r="Z55" s="512"/>
      <c r="AA55" s="512"/>
      <c r="AB55" s="512"/>
      <c r="AC55" s="512"/>
      <c r="AD55" s="512"/>
      <c r="AE55" s="512"/>
      <c r="AF55" s="512"/>
      <c r="AG55" s="51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12"/>
      <c r="IK55" s="512"/>
      <c r="IL55" s="512"/>
      <c r="IM55" s="512"/>
      <c r="IN55" s="512"/>
      <c r="IO55" s="512"/>
      <c r="IP55" s="512"/>
      <c r="IQ55" s="512"/>
      <c r="IR55" s="512"/>
      <c r="IS55" s="512"/>
      <c r="IT55" s="512"/>
      <c r="IU55" s="512"/>
      <c r="IV55" s="512"/>
      <c r="IW55" s="512"/>
    </row>
    <row r="56" spans="1:257" ht="17.649999999999999" hidden="1">
      <c r="A56" s="509"/>
      <c r="B56" s="509"/>
      <c r="C56" s="509"/>
      <c r="D56" s="509">
        <v>594.9</v>
      </c>
      <c r="E56" s="509"/>
      <c r="F56" s="509"/>
      <c r="G56" s="509"/>
      <c r="H56" s="523">
        <f t="shared" si="2"/>
        <v>594.9</v>
      </c>
      <c r="I56" s="497"/>
      <c r="J56" s="508">
        <v>3100968523</v>
      </c>
      <c r="K56" s="500">
        <v>43442</v>
      </c>
      <c r="L56" s="501" t="s">
        <v>370</v>
      </c>
      <c r="M56" s="524"/>
      <c r="N56" s="512"/>
      <c r="O56" s="526"/>
      <c r="V56" s="512"/>
      <c r="W56" s="512"/>
      <c r="X56" s="512"/>
      <c r="Y56" s="512"/>
      <c r="Z56" s="512"/>
      <c r="AA56" s="512"/>
      <c r="AB56" s="512"/>
      <c r="AC56" s="512"/>
      <c r="AD56" s="512"/>
      <c r="AE56" s="512"/>
      <c r="AF56" s="512"/>
      <c r="AG56" s="51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12"/>
      <c r="IK56" s="512"/>
      <c r="IL56" s="512"/>
      <c r="IM56" s="512"/>
      <c r="IN56" s="512"/>
      <c r="IO56" s="512"/>
      <c r="IP56" s="512"/>
      <c r="IQ56" s="512"/>
      <c r="IR56" s="512"/>
      <c r="IS56" s="512"/>
      <c r="IT56" s="512"/>
      <c r="IU56" s="512"/>
      <c r="IV56" s="512"/>
      <c r="IW56" s="512"/>
    </row>
    <row r="57" spans="1:257" ht="17.649999999999999" hidden="1">
      <c r="A57" s="509"/>
      <c r="B57" s="509"/>
      <c r="C57" s="493"/>
      <c r="D57" s="509"/>
      <c r="E57" s="509"/>
      <c r="F57" s="509"/>
      <c r="G57" s="509"/>
      <c r="H57" s="523">
        <f t="shared" si="2"/>
        <v>0</v>
      </c>
      <c r="I57" s="497"/>
      <c r="J57" s="499"/>
      <c r="K57" s="500"/>
      <c r="L57" s="501"/>
      <c r="M57" s="497"/>
      <c r="O57" s="526"/>
    </row>
    <row r="58" spans="1:257" ht="18" hidden="1" thickBot="1">
      <c r="A58" s="516">
        <f>SUM(A41:A57)</f>
        <v>0</v>
      </c>
      <c r="B58" s="516">
        <f>SUM(B41:B57)</f>
        <v>0</v>
      </c>
      <c r="C58" s="516">
        <f>SUM(C41:C57)</f>
        <v>0</v>
      </c>
      <c r="D58" s="516">
        <f>SUM(D41:D57)</f>
        <v>1025.75</v>
      </c>
      <c r="E58" s="516"/>
      <c r="F58" s="516">
        <f>SUM(F41:F57)</f>
        <v>804.56879288200366</v>
      </c>
      <c r="G58" s="516"/>
      <c r="H58" s="516">
        <f>SUM(H41:H57)</f>
        <v>1830.3187928820034</v>
      </c>
      <c r="I58" s="497"/>
      <c r="J58" s="499"/>
      <c r="K58" s="500"/>
      <c r="L58" s="501"/>
      <c r="M58" s="497"/>
    </row>
    <row r="59" spans="1:257" hidden="1">
      <c r="A59" s="497"/>
      <c r="B59" s="497"/>
      <c r="C59" s="497"/>
      <c r="D59" s="497"/>
      <c r="E59" s="497"/>
      <c r="F59" s="497"/>
      <c r="G59" s="497"/>
      <c r="H59" s="497"/>
      <c r="I59" s="497"/>
      <c r="J59" s="499"/>
      <c r="K59" s="500"/>
      <c r="L59" s="501"/>
      <c r="M59" s="497"/>
    </row>
    <row r="60" spans="1:257" ht="17.649999999999999" hidden="1">
      <c r="A60" s="527" t="s">
        <v>299</v>
      </c>
      <c r="B60" s="527"/>
      <c r="C60" s="527"/>
      <c r="D60" s="527"/>
      <c r="E60" s="527"/>
      <c r="F60" s="527"/>
      <c r="G60" s="497"/>
      <c r="H60" s="493"/>
      <c r="I60" s="497"/>
      <c r="J60" s="499"/>
      <c r="K60" s="500"/>
      <c r="L60" s="497"/>
      <c r="M60" s="497"/>
      <c r="O60" s="497"/>
      <c r="Q60" s="497"/>
      <c r="AZ60" s="497"/>
      <c r="BA60" s="497"/>
      <c r="BB60" s="497"/>
      <c r="BC60" s="497"/>
      <c r="BD60" s="497"/>
      <c r="BE60" s="497"/>
      <c r="BF60" s="497"/>
      <c r="BG60" s="497"/>
      <c r="BH60" s="497"/>
      <c r="BI60" s="497"/>
      <c r="BJ60" s="497"/>
      <c r="BK60" s="497"/>
      <c r="BL60" s="497"/>
      <c r="BM60" s="497"/>
      <c r="BN60" s="497"/>
      <c r="BO60" s="497"/>
      <c r="BP60" s="497"/>
      <c r="BQ60" s="497"/>
      <c r="BR60" s="497"/>
      <c r="BS60" s="497"/>
      <c r="BT60" s="497"/>
      <c r="BU60" s="497"/>
      <c r="BV60" s="497"/>
      <c r="BW60" s="497"/>
      <c r="BX60" s="497"/>
      <c r="BY60" s="497"/>
      <c r="BZ60" s="497"/>
      <c r="CA60" s="497"/>
      <c r="CB60" s="497"/>
      <c r="CC60" s="497"/>
      <c r="CD60" s="497"/>
      <c r="CE60" s="497"/>
      <c r="CF60" s="497"/>
      <c r="CG60" s="497"/>
      <c r="CH60" s="497"/>
      <c r="CI60" s="497"/>
      <c r="CJ60" s="497"/>
      <c r="CK60" s="497"/>
      <c r="CL60" s="497"/>
      <c r="CM60" s="497"/>
      <c r="CN60" s="497"/>
      <c r="CO60" s="497"/>
      <c r="CP60" s="497"/>
      <c r="CQ60" s="497"/>
      <c r="CR60" s="497"/>
      <c r="CS60" s="497"/>
      <c r="CT60" s="497"/>
      <c r="CU60" s="497"/>
      <c r="CV60" s="497"/>
      <c r="CW60" s="497"/>
      <c r="CX60" s="497"/>
      <c r="CY60" s="497"/>
      <c r="CZ60" s="497"/>
      <c r="DA60" s="497"/>
      <c r="DB60" s="497"/>
      <c r="DC60" s="497"/>
      <c r="DD60" s="497"/>
      <c r="DE60" s="497"/>
      <c r="DF60" s="497"/>
      <c r="DG60" s="497"/>
      <c r="DH60" s="497"/>
      <c r="DI60" s="497"/>
      <c r="DJ60" s="497"/>
      <c r="DK60" s="497"/>
      <c r="DL60" s="497"/>
      <c r="DM60" s="497"/>
      <c r="DN60" s="497"/>
      <c r="DO60" s="497"/>
      <c r="DP60" s="497"/>
      <c r="DQ60" s="497"/>
      <c r="DR60" s="497"/>
      <c r="DS60" s="497"/>
      <c r="DT60" s="497"/>
      <c r="DU60" s="497"/>
      <c r="DV60" s="497"/>
      <c r="DW60" s="497"/>
      <c r="DX60" s="497"/>
      <c r="DY60" s="497"/>
      <c r="DZ60" s="497"/>
      <c r="EA60" s="497"/>
      <c r="EB60" s="497"/>
      <c r="EC60" s="497"/>
      <c r="ED60" s="497"/>
      <c r="EE60" s="497"/>
      <c r="EF60" s="497"/>
      <c r="EG60" s="497"/>
      <c r="EH60" s="497"/>
      <c r="EI60" s="497"/>
      <c r="EJ60" s="497"/>
      <c r="EK60" s="497"/>
      <c r="EL60" s="497"/>
      <c r="EM60" s="497"/>
      <c r="EN60" s="497"/>
      <c r="EO60" s="497"/>
      <c r="EP60" s="497"/>
      <c r="EQ60" s="497"/>
      <c r="ER60" s="497"/>
      <c r="ES60" s="497"/>
      <c r="ET60" s="497"/>
      <c r="EU60" s="497"/>
      <c r="EV60" s="497"/>
      <c r="EW60" s="497"/>
      <c r="EX60" s="497"/>
      <c r="EY60" s="497"/>
      <c r="EZ60" s="497"/>
      <c r="FA60" s="497"/>
      <c r="FB60" s="497"/>
      <c r="FC60" s="497"/>
      <c r="FD60" s="497"/>
      <c r="FE60" s="497"/>
      <c r="FF60" s="497"/>
      <c r="FG60" s="497"/>
      <c r="FH60" s="497"/>
      <c r="FI60" s="497"/>
      <c r="FJ60" s="497"/>
      <c r="FK60" s="497"/>
      <c r="FL60" s="497"/>
      <c r="FM60" s="497"/>
      <c r="FN60" s="497"/>
      <c r="FO60" s="497"/>
      <c r="FP60" s="497"/>
      <c r="FQ60" s="497"/>
      <c r="FR60" s="497"/>
      <c r="FS60" s="497"/>
      <c r="FT60" s="497"/>
      <c r="FU60" s="497"/>
      <c r="FV60" s="497"/>
      <c r="FW60" s="497"/>
      <c r="FX60" s="497"/>
      <c r="FY60" s="497"/>
      <c r="FZ60" s="497"/>
      <c r="GA60" s="497"/>
      <c r="GB60" s="497"/>
      <c r="GC60" s="497"/>
      <c r="GD60" s="497"/>
      <c r="GE60" s="497"/>
      <c r="GF60" s="497"/>
      <c r="GG60" s="497"/>
      <c r="GH60" s="497"/>
      <c r="GI60" s="497"/>
      <c r="GJ60" s="497"/>
      <c r="GK60" s="497"/>
      <c r="GL60" s="497"/>
      <c r="GM60" s="497"/>
      <c r="GN60" s="497"/>
      <c r="GO60" s="497"/>
      <c r="GP60" s="497"/>
      <c r="GQ60" s="497"/>
      <c r="GR60" s="497"/>
      <c r="GS60" s="497"/>
      <c r="GT60" s="497"/>
      <c r="GU60" s="497"/>
      <c r="GV60" s="497"/>
      <c r="GW60" s="497"/>
      <c r="GX60" s="497"/>
      <c r="GY60" s="497"/>
      <c r="GZ60" s="497"/>
      <c r="HA60" s="497"/>
      <c r="HB60" s="497"/>
      <c r="HC60" s="497"/>
      <c r="HD60" s="497"/>
      <c r="HE60" s="497"/>
      <c r="HF60" s="497"/>
      <c r="HG60" s="497"/>
      <c r="HH60" s="497"/>
      <c r="HI60" s="497"/>
      <c r="HJ60" s="497"/>
      <c r="HK60" s="497"/>
      <c r="HL60" s="497"/>
      <c r="HM60" s="497"/>
      <c r="HN60" s="497"/>
      <c r="HO60" s="497"/>
      <c r="HP60" s="497"/>
      <c r="HQ60" s="497"/>
      <c r="HR60" s="497"/>
      <c r="HS60" s="497"/>
      <c r="HT60" s="497"/>
      <c r="HU60" s="497"/>
      <c r="HV60" s="497"/>
      <c r="HW60" s="497"/>
      <c r="HX60" s="497"/>
      <c r="HY60" s="497"/>
      <c r="HZ60" s="497"/>
      <c r="IA60" s="497"/>
      <c r="IB60" s="497"/>
      <c r="IC60" s="497"/>
      <c r="ID60" s="497"/>
      <c r="IE60" s="497"/>
      <c r="IF60" s="497"/>
      <c r="IG60" s="497"/>
      <c r="IH60" s="497"/>
      <c r="II60" s="497"/>
      <c r="IJ60" s="497"/>
      <c r="IK60" s="497"/>
      <c r="IL60" s="497"/>
      <c r="IM60" s="497"/>
      <c r="IN60" s="497"/>
      <c r="IO60" s="497"/>
      <c r="IP60" s="497"/>
      <c r="IQ60" s="497"/>
      <c r="IR60" s="497"/>
      <c r="IS60" s="497"/>
      <c r="IT60" s="497"/>
      <c r="IU60" s="497"/>
      <c r="IV60" s="497"/>
      <c r="IW60" s="497"/>
    </row>
    <row r="61" spans="1:257" ht="17.649999999999999" hidden="1">
      <c r="A61" s="528" t="s">
        <v>301</v>
      </c>
      <c r="B61" s="527"/>
      <c r="C61" s="527"/>
      <c r="D61" s="528"/>
      <c r="E61" s="528"/>
      <c r="F61" s="528"/>
      <c r="G61" s="493"/>
      <c r="H61" s="493"/>
      <c r="I61" s="493"/>
      <c r="J61" s="494"/>
      <c r="K61" s="495"/>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3"/>
      <c r="AU61" s="493"/>
      <c r="AV61" s="493"/>
      <c r="AW61" s="493"/>
      <c r="AX61" s="493"/>
      <c r="AY61" s="493"/>
      <c r="AZ61" s="493"/>
      <c r="BA61" s="493"/>
      <c r="BB61" s="493"/>
      <c r="BC61" s="493"/>
      <c r="BD61" s="493"/>
      <c r="BE61" s="493"/>
      <c r="BF61" s="493"/>
      <c r="BG61" s="493"/>
      <c r="BH61" s="493"/>
      <c r="BI61" s="493"/>
      <c r="BJ61" s="493"/>
      <c r="BK61" s="493"/>
      <c r="BL61" s="493"/>
      <c r="BM61" s="493"/>
      <c r="BN61" s="493"/>
      <c r="BO61" s="493"/>
      <c r="BP61" s="493"/>
      <c r="BQ61" s="493"/>
      <c r="BR61" s="493"/>
      <c r="BS61" s="493"/>
      <c r="BT61" s="493"/>
      <c r="BU61" s="493"/>
      <c r="BV61" s="493"/>
      <c r="BW61" s="493"/>
      <c r="BX61" s="493"/>
      <c r="BY61" s="493"/>
      <c r="BZ61" s="493"/>
      <c r="CA61" s="493"/>
      <c r="CB61" s="493"/>
      <c r="CC61" s="493"/>
      <c r="CD61" s="493"/>
      <c r="CE61" s="493"/>
      <c r="CF61" s="493"/>
      <c r="CG61" s="493"/>
      <c r="CH61" s="493"/>
      <c r="CI61" s="493"/>
      <c r="CJ61" s="493"/>
      <c r="CK61" s="493"/>
      <c r="CL61" s="493"/>
      <c r="CM61" s="493"/>
      <c r="CN61" s="493"/>
      <c r="CO61" s="493"/>
      <c r="CP61" s="493"/>
      <c r="CQ61" s="493"/>
      <c r="CR61" s="493"/>
      <c r="CS61" s="493"/>
      <c r="CT61" s="493"/>
      <c r="CU61" s="493"/>
      <c r="CV61" s="493"/>
      <c r="CW61" s="493"/>
      <c r="CX61" s="493"/>
      <c r="CY61" s="493"/>
      <c r="CZ61" s="493"/>
      <c r="DA61" s="493"/>
      <c r="DB61" s="493"/>
      <c r="DC61" s="493"/>
      <c r="DD61" s="493"/>
      <c r="DE61" s="493"/>
      <c r="DF61" s="493"/>
      <c r="DG61" s="493"/>
      <c r="DH61" s="493"/>
      <c r="DI61" s="493"/>
      <c r="DJ61" s="493"/>
      <c r="DK61" s="493"/>
      <c r="DL61" s="493"/>
      <c r="DM61" s="493"/>
      <c r="DN61" s="493"/>
      <c r="DO61" s="493"/>
      <c r="DP61" s="493"/>
      <c r="DQ61" s="493"/>
      <c r="DR61" s="493"/>
      <c r="DS61" s="493"/>
      <c r="DT61" s="493"/>
      <c r="DU61" s="493"/>
      <c r="DV61" s="493"/>
      <c r="DW61" s="493"/>
      <c r="DX61" s="493"/>
      <c r="DY61" s="493"/>
      <c r="DZ61" s="493"/>
      <c r="EA61" s="493"/>
      <c r="EB61" s="493"/>
      <c r="EC61" s="493"/>
      <c r="ED61" s="493"/>
      <c r="EE61" s="493"/>
      <c r="EF61" s="493"/>
      <c r="EG61" s="493"/>
      <c r="EH61" s="493"/>
      <c r="EI61" s="493"/>
      <c r="EJ61" s="493"/>
      <c r="EK61" s="493"/>
      <c r="EL61" s="493"/>
      <c r="EM61" s="493"/>
      <c r="EN61" s="493"/>
      <c r="EO61" s="493"/>
      <c r="EP61" s="493"/>
      <c r="EQ61" s="493"/>
      <c r="ER61" s="493"/>
      <c r="ES61" s="493"/>
      <c r="ET61" s="493"/>
      <c r="EU61" s="493"/>
      <c r="EV61" s="493"/>
      <c r="EW61" s="493"/>
      <c r="EX61" s="493"/>
      <c r="EY61" s="493"/>
      <c r="EZ61" s="493"/>
      <c r="FA61" s="493"/>
      <c r="FB61" s="493"/>
      <c r="FC61" s="493"/>
      <c r="FD61" s="493"/>
      <c r="FE61" s="493"/>
      <c r="FF61" s="493"/>
      <c r="FG61" s="493"/>
      <c r="FH61" s="493"/>
      <c r="FI61" s="493"/>
      <c r="FJ61" s="493"/>
      <c r="FK61" s="493"/>
      <c r="FL61" s="493"/>
      <c r="FM61" s="493"/>
      <c r="FN61" s="493"/>
      <c r="FO61" s="493"/>
      <c r="FP61" s="493"/>
      <c r="FQ61" s="493"/>
      <c r="FR61" s="493"/>
      <c r="FS61" s="493"/>
      <c r="FT61" s="493"/>
      <c r="FU61" s="493"/>
      <c r="FV61" s="493"/>
      <c r="FW61" s="493"/>
      <c r="FX61" s="493"/>
      <c r="FY61" s="493"/>
      <c r="FZ61" s="493"/>
      <c r="GA61" s="493"/>
      <c r="GB61" s="493"/>
      <c r="GC61" s="493"/>
      <c r="GD61" s="493"/>
      <c r="GE61" s="493"/>
      <c r="GF61" s="493"/>
      <c r="GG61" s="493"/>
      <c r="GH61" s="493"/>
      <c r="GI61" s="493"/>
      <c r="GJ61" s="493"/>
      <c r="GK61" s="493"/>
      <c r="GL61" s="493"/>
      <c r="GM61" s="493"/>
      <c r="GN61" s="493"/>
      <c r="GO61" s="493"/>
      <c r="GP61" s="493"/>
      <c r="GQ61" s="493"/>
      <c r="GR61" s="493"/>
      <c r="GS61" s="493"/>
      <c r="GT61" s="493"/>
      <c r="GU61" s="493"/>
      <c r="GV61" s="493"/>
      <c r="GW61" s="493"/>
      <c r="GX61" s="493"/>
      <c r="GY61" s="493"/>
      <c r="GZ61" s="493"/>
      <c r="HA61" s="493"/>
      <c r="HB61" s="493"/>
      <c r="HC61" s="493"/>
      <c r="HD61" s="493"/>
      <c r="HE61" s="493"/>
      <c r="HF61" s="493"/>
      <c r="HG61" s="493"/>
      <c r="HH61" s="493"/>
      <c r="HI61" s="493"/>
      <c r="HJ61" s="493"/>
      <c r="HK61" s="493"/>
      <c r="HL61" s="493"/>
      <c r="HM61" s="493"/>
      <c r="HN61" s="493"/>
      <c r="HO61" s="493"/>
      <c r="HP61" s="493"/>
      <c r="HQ61" s="493"/>
      <c r="HR61" s="493"/>
      <c r="HS61" s="493"/>
      <c r="HT61" s="493"/>
      <c r="HU61" s="493"/>
      <c r="HV61" s="493"/>
      <c r="HW61" s="493"/>
      <c r="HX61" s="493"/>
      <c r="HY61" s="493"/>
      <c r="HZ61" s="493"/>
      <c r="IA61" s="493"/>
      <c r="IB61" s="493"/>
      <c r="IC61" s="493"/>
      <c r="ID61" s="493"/>
      <c r="IE61" s="493"/>
      <c r="IF61" s="493"/>
      <c r="IG61" s="493"/>
      <c r="IH61" s="493"/>
      <c r="II61" s="493"/>
      <c r="IJ61" s="493"/>
      <c r="IK61" s="493"/>
      <c r="IL61" s="493"/>
      <c r="IM61" s="493"/>
      <c r="IN61" s="493"/>
      <c r="IO61" s="493"/>
      <c r="IP61" s="493"/>
      <c r="IQ61" s="493"/>
      <c r="IR61" s="493"/>
      <c r="IS61" s="493"/>
      <c r="IT61" s="493"/>
      <c r="IU61" s="493"/>
      <c r="IV61" s="493"/>
      <c r="IW61" s="493"/>
    </row>
    <row r="62" spans="1:257" ht="17.649999999999999" hidden="1">
      <c r="A62" s="527" t="s">
        <v>371</v>
      </c>
      <c r="B62" s="527"/>
      <c r="C62" s="527"/>
      <c r="D62" s="527"/>
      <c r="E62" s="527"/>
      <c r="F62" s="527"/>
      <c r="G62" s="493"/>
      <c r="H62" s="493"/>
      <c r="I62" s="493"/>
      <c r="J62" s="494"/>
      <c r="K62" s="495"/>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3"/>
      <c r="AU62" s="493"/>
      <c r="AV62" s="493"/>
      <c r="AW62" s="493"/>
      <c r="AX62" s="493"/>
      <c r="AY62" s="493"/>
      <c r="AZ62" s="493"/>
      <c r="BA62" s="493"/>
      <c r="BB62" s="493"/>
      <c r="BC62" s="493"/>
      <c r="BD62" s="493"/>
      <c r="BE62" s="493"/>
      <c r="BF62" s="493"/>
      <c r="BG62" s="493"/>
      <c r="BH62" s="493"/>
      <c r="BI62" s="493"/>
      <c r="BJ62" s="493"/>
      <c r="BK62" s="493"/>
      <c r="BL62" s="493"/>
      <c r="BM62" s="493"/>
      <c r="BN62" s="493"/>
      <c r="BO62" s="493"/>
      <c r="BP62" s="493"/>
      <c r="BQ62" s="493"/>
      <c r="BR62" s="493"/>
      <c r="BS62" s="493"/>
      <c r="BT62" s="493"/>
      <c r="BU62" s="493"/>
      <c r="BV62" s="493"/>
      <c r="BW62" s="493"/>
      <c r="BX62" s="493"/>
      <c r="BY62" s="493"/>
      <c r="BZ62" s="493"/>
      <c r="CA62" s="493"/>
      <c r="CB62" s="493"/>
      <c r="CC62" s="493"/>
      <c r="CD62" s="493"/>
      <c r="CE62" s="493"/>
      <c r="CF62" s="493"/>
      <c r="CG62" s="493"/>
      <c r="CH62" s="493"/>
      <c r="CI62" s="493"/>
      <c r="CJ62" s="493"/>
      <c r="CK62" s="493"/>
      <c r="CL62" s="493"/>
      <c r="CM62" s="493"/>
      <c r="CN62" s="493"/>
      <c r="CO62" s="493"/>
      <c r="CP62" s="493"/>
      <c r="CQ62" s="493"/>
      <c r="CR62" s="493"/>
      <c r="CS62" s="493"/>
      <c r="CT62" s="493"/>
      <c r="CU62" s="493"/>
      <c r="CV62" s="493"/>
      <c r="CW62" s="493"/>
      <c r="CX62" s="493"/>
      <c r="CY62" s="493"/>
      <c r="CZ62" s="493"/>
      <c r="DA62" s="493"/>
      <c r="DB62" s="493"/>
      <c r="DC62" s="493"/>
      <c r="DD62" s="493"/>
      <c r="DE62" s="493"/>
      <c r="DF62" s="493"/>
      <c r="DG62" s="493"/>
      <c r="DH62" s="493"/>
      <c r="DI62" s="493"/>
      <c r="DJ62" s="493"/>
      <c r="DK62" s="493"/>
      <c r="DL62" s="493"/>
      <c r="DM62" s="493"/>
      <c r="DN62" s="493"/>
      <c r="DO62" s="493"/>
      <c r="DP62" s="493"/>
      <c r="DQ62" s="493"/>
      <c r="DR62" s="493"/>
      <c r="DS62" s="493"/>
      <c r="DT62" s="493"/>
      <c r="DU62" s="493"/>
      <c r="DV62" s="493"/>
      <c r="DW62" s="493"/>
      <c r="DX62" s="493"/>
      <c r="DY62" s="493"/>
      <c r="DZ62" s="493"/>
      <c r="EA62" s="493"/>
      <c r="EB62" s="493"/>
      <c r="EC62" s="493"/>
      <c r="ED62" s="493"/>
      <c r="EE62" s="493"/>
      <c r="EF62" s="493"/>
      <c r="EG62" s="493"/>
      <c r="EH62" s="493"/>
      <c r="EI62" s="493"/>
      <c r="EJ62" s="493"/>
      <c r="EK62" s="493"/>
      <c r="EL62" s="493"/>
      <c r="EM62" s="493"/>
      <c r="EN62" s="493"/>
      <c r="EO62" s="493"/>
      <c r="EP62" s="493"/>
      <c r="EQ62" s="493"/>
      <c r="ER62" s="493"/>
      <c r="ES62" s="493"/>
      <c r="ET62" s="493"/>
      <c r="EU62" s="493"/>
      <c r="EV62" s="493"/>
      <c r="EW62" s="493"/>
      <c r="EX62" s="493"/>
      <c r="EY62" s="493"/>
      <c r="EZ62" s="493"/>
      <c r="FA62" s="493"/>
      <c r="FB62" s="493"/>
      <c r="FC62" s="493"/>
      <c r="FD62" s="493"/>
      <c r="FE62" s="493"/>
      <c r="FF62" s="493"/>
      <c r="FG62" s="493"/>
      <c r="FH62" s="493"/>
      <c r="FI62" s="493"/>
      <c r="FJ62" s="493"/>
      <c r="FK62" s="493"/>
      <c r="FL62" s="493"/>
      <c r="FM62" s="493"/>
      <c r="FN62" s="493"/>
      <c r="FO62" s="493"/>
      <c r="FP62" s="493"/>
      <c r="FQ62" s="493"/>
      <c r="FR62" s="493"/>
      <c r="FS62" s="493"/>
      <c r="FT62" s="493"/>
      <c r="FU62" s="493"/>
      <c r="FV62" s="493"/>
      <c r="FW62" s="493"/>
      <c r="FX62" s="493"/>
      <c r="FY62" s="493"/>
      <c r="FZ62" s="493"/>
      <c r="GA62" s="493"/>
      <c r="GB62" s="493"/>
      <c r="GC62" s="493"/>
      <c r="GD62" s="493"/>
      <c r="GE62" s="493"/>
      <c r="GF62" s="493"/>
      <c r="GG62" s="493"/>
      <c r="GH62" s="493"/>
      <c r="GI62" s="493"/>
      <c r="GJ62" s="493"/>
      <c r="GK62" s="493"/>
      <c r="GL62" s="493"/>
      <c r="GM62" s="493"/>
      <c r="GN62" s="493"/>
      <c r="GO62" s="493"/>
      <c r="GP62" s="493"/>
      <c r="GQ62" s="493"/>
      <c r="GR62" s="493"/>
      <c r="GS62" s="493"/>
      <c r="GT62" s="493"/>
      <c r="GU62" s="493"/>
      <c r="GV62" s="493"/>
      <c r="GW62" s="493"/>
      <c r="GX62" s="493"/>
      <c r="GY62" s="493"/>
      <c r="GZ62" s="493"/>
      <c r="HA62" s="493"/>
      <c r="HB62" s="493"/>
      <c r="HC62" s="493"/>
      <c r="HD62" s="493"/>
      <c r="HE62" s="493"/>
      <c r="HF62" s="493"/>
      <c r="HG62" s="493"/>
      <c r="HH62" s="493"/>
      <c r="HI62" s="493"/>
      <c r="HJ62" s="493"/>
      <c r="HK62" s="493"/>
      <c r="HL62" s="493"/>
      <c r="HM62" s="493"/>
      <c r="HN62" s="493"/>
      <c r="HO62" s="493"/>
      <c r="HP62" s="493"/>
      <c r="HQ62" s="493"/>
      <c r="HR62" s="493"/>
      <c r="HS62" s="493"/>
      <c r="HT62" s="493"/>
      <c r="HU62" s="493"/>
      <c r="HV62" s="493"/>
      <c r="HW62" s="493"/>
      <c r="HX62" s="493"/>
      <c r="HY62" s="493"/>
      <c r="HZ62" s="493"/>
      <c r="IA62" s="493"/>
      <c r="IB62" s="493"/>
      <c r="IC62" s="493"/>
      <c r="ID62" s="493"/>
      <c r="IE62" s="493"/>
      <c r="IF62" s="493"/>
      <c r="IG62" s="493"/>
      <c r="IH62" s="493"/>
      <c r="II62" s="493"/>
      <c r="IJ62" s="493"/>
      <c r="IK62" s="493"/>
      <c r="IL62" s="493"/>
      <c r="IM62" s="493"/>
      <c r="IN62" s="493"/>
      <c r="IO62" s="493"/>
      <c r="IP62" s="493"/>
      <c r="IQ62" s="493"/>
      <c r="IR62" s="493"/>
      <c r="IS62" s="493"/>
      <c r="IT62" s="493"/>
      <c r="IU62" s="493"/>
      <c r="IV62" s="493"/>
      <c r="IW62" s="493"/>
    </row>
    <row r="63" spans="1:257" ht="17.649999999999999" hidden="1">
      <c r="A63" s="493"/>
      <c r="B63" s="493"/>
      <c r="C63" s="493"/>
      <c r="D63" s="493"/>
      <c r="E63" s="493"/>
      <c r="F63" s="493"/>
      <c r="G63" s="493"/>
      <c r="H63" s="493"/>
      <c r="I63" s="493"/>
      <c r="J63" s="494"/>
      <c r="K63" s="495"/>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3"/>
      <c r="AU63" s="493"/>
      <c r="AV63" s="493"/>
      <c r="AW63" s="493"/>
      <c r="AX63" s="493"/>
      <c r="AY63" s="493"/>
      <c r="AZ63" s="493"/>
      <c r="BA63" s="493"/>
      <c r="BB63" s="493"/>
      <c r="BC63" s="493"/>
      <c r="BD63" s="493"/>
      <c r="BE63" s="493"/>
      <c r="BF63" s="493"/>
      <c r="BG63" s="493"/>
      <c r="BH63" s="493"/>
      <c r="BI63" s="493"/>
      <c r="BJ63" s="493"/>
      <c r="BK63" s="493"/>
      <c r="BL63" s="493"/>
      <c r="BM63" s="493"/>
      <c r="BN63" s="493"/>
      <c r="BO63" s="493"/>
      <c r="BP63" s="493"/>
      <c r="BQ63" s="493"/>
      <c r="BR63" s="493"/>
      <c r="BS63" s="493"/>
      <c r="BT63" s="493"/>
      <c r="BU63" s="493"/>
      <c r="BV63" s="493"/>
      <c r="BW63" s="493"/>
      <c r="BX63" s="493"/>
      <c r="BY63" s="493"/>
      <c r="BZ63" s="493"/>
      <c r="CA63" s="493"/>
      <c r="CB63" s="493"/>
      <c r="CC63" s="493"/>
      <c r="CD63" s="493"/>
      <c r="CE63" s="493"/>
      <c r="CF63" s="493"/>
      <c r="CG63" s="493"/>
      <c r="CH63" s="493"/>
      <c r="CI63" s="493"/>
      <c r="CJ63" s="493"/>
      <c r="CK63" s="493"/>
      <c r="CL63" s="493"/>
      <c r="CM63" s="493"/>
      <c r="CN63" s="493"/>
      <c r="CO63" s="493"/>
      <c r="CP63" s="493"/>
      <c r="CQ63" s="493"/>
      <c r="CR63" s="493"/>
      <c r="CS63" s="493"/>
      <c r="CT63" s="493"/>
      <c r="CU63" s="493"/>
      <c r="CV63" s="493"/>
      <c r="CW63" s="493"/>
      <c r="CX63" s="493"/>
      <c r="CY63" s="493"/>
      <c r="CZ63" s="493"/>
      <c r="DA63" s="493"/>
      <c r="DB63" s="493"/>
      <c r="DC63" s="493"/>
      <c r="DD63" s="493"/>
      <c r="DE63" s="493"/>
      <c r="DF63" s="493"/>
      <c r="DG63" s="493"/>
      <c r="DH63" s="493"/>
      <c r="DI63" s="493"/>
      <c r="DJ63" s="493"/>
      <c r="DK63" s="493"/>
      <c r="DL63" s="493"/>
      <c r="DM63" s="493"/>
      <c r="DN63" s="493"/>
      <c r="DO63" s="493"/>
      <c r="DP63" s="493"/>
      <c r="DQ63" s="493"/>
      <c r="DR63" s="493"/>
      <c r="DS63" s="493"/>
      <c r="DT63" s="493"/>
      <c r="DU63" s="493"/>
      <c r="DV63" s="493"/>
      <c r="DW63" s="493"/>
      <c r="DX63" s="493"/>
      <c r="DY63" s="493"/>
      <c r="DZ63" s="493"/>
      <c r="EA63" s="493"/>
      <c r="EB63" s="493"/>
      <c r="EC63" s="493"/>
      <c r="ED63" s="493"/>
      <c r="EE63" s="493"/>
      <c r="EF63" s="493"/>
      <c r="EG63" s="493"/>
      <c r="EH63" s="493"/>
      <c r="EI63" s="493"/>
      <c r="EJ63" s="493"/>
      <c r="EK63" s="493"/>
      <c r="EL63" s="493"/>
      <c r="EM63" s="493"/>
      <c r="EN63" s="493"/>
      <c r="EO63" s="493"/>
      <c r="EP63" s="493"/>
      <c r="EQ63" s="493"/>
      <c r="ER63" s="493"/>
      <c r="ES63" s="493"/>
      <c r="ET63" s="493"/>
      <c r="EU63" s="493"/>
      <c r="EV63" s="493"/>
      <c r="EW63" s="493"/>
      <c r="EX63" s="493"/>
      <c r="EY63" s="493"/>
      <c r="EZ63" s="493"/>
      <c r="FA63" s="493"/>
      <c r="FB63" s="493"/>
      <c r="FC63" s="493"/>
      <c r="FD63" s="493"/>
      <c r="FE63" s="493"/>
      <c r="FF63" s="493"/>
      <c r="FG63" s="493"/>
      <c r="FH63" s="493"/>
      <c r="FI63" s="493"/>
      <c r="FJ63" s="493"/>
      <c r="FK63" s="493"/>
      <c r="FL63" s="493"/>
      <c r="FM63" s="493"/>
      <c r="FN63" s="493"/>
      <c r="FO63" s="493"/>
      <c r="FP63" s="493"/>
      <c r="FQ63" s="493"/>
      <c r="FR63" s="493"/>
      <c r="FS63" s="493"/>
      <c r="FT63" s="493"/>
      <c r="FU63" s="493"/>
      <c r="FV63" s="493"/>
      <c r="FW63" s="493"/>
      <c r="FX63" s="493"/>
      <c r="FY63" s="493"/>
      <c r="FZ63" s="493"/>
      <c r="GA63" s="493"/>
      <c r="GB63" s="493"/>
      <c r="GC63" s="493"/>
      <c r="GD63" s="493"/>
      <c r="GE63" s="493"/>
      <c r="GF63" s="493"/>
      <c r="GG63" s="493"/>
      <c r="GH63" s="493"/>
      <c r="GI63" s="493"/>
      <c r="GJ63" s="493"/>
      <c r="GK63" s="493"/>
      <c r="GL63" s="493"/>
      <c r="GM63" s="493"/>
      <c r="GN63" s="493"/>
      <c r="GO63" s="493"/>
      <c r="GP63" s="493"/>
      <c r="GQ63" s="493"/>
      <c r="GR63" s="493"/>
      <c r="GS63" s="493"/>
      <c r="GT63" s="493"/>
      <c r="GU63" s="493"/>
      <c r="GV63" s="493"/>
      <c r="GW63" s="493"/>
      <c r="GX63" s="493"/>
      <c r="GY63" s="493"/>
      <c r="GZ63" s="493"/>
      <c r="HA63" s="493"/>
      <c r="HB63" s="493"/>
      <c r="HC63" s="493"/>
      <c r="HD63" s="493"/>
      <c r="HE63" s="493"/>
      <c r="HF63" s="493"/>
      <c r="HG63" s="493"/>
      <c r="HH63" s="493"/>
      <c r="HI63" s="493"/>
      <c r="HJ63" s="493"/>
      <c r="HK63" s="493"/>
      <c r="HL63" s="493"/>
      <c r="HM63" s="493"/>
      <c r="HN63" s="493"/>
      <c r="HO63" s="493"/>
      <c r="HP63" s="493"/>
      <c r="HQ63" s="493"/>
      <c r="HR63" s="493"/>
      <c r="HS63" s="493"/>
      <c r="HT63" s="493"/>
      <c r="HU63" s="493"/>
      <c r="HV63" s="493"/>
      <c r="HW63" s="493"/>
      <c r="HX63" s="493"/>
      <c r="HY63" s="493"/>
      <c r="HZ63" s="493"/>
      <c r="IA63" s="493"/>
      <c r="IB63" s="493"/>
      <c r="IC63" s="493"/>
      <c r="ID63" s="493"/>
      <c r="IE63" s="493"/>
      <c r="IF63" s="493"/>
      <c r="IG63" s="493"/>
      <c r="IH63" s="493"/>
      <c r="II63" s="493"/>
      <c r="IJ63" s="493"/>
      <c r="IK63" s="493"/>
      <c r="IL63" s="493"/>
      <c r="IM63" s="493"/>
      <c r="IN63" s="493"/>
      <c r="IO63" s="493"/>
      <c r="IP63" s="493"/>
      <c r="IQ63" s="493"/>
      <c r="IR63" s="493"/>
      <c r="IS63" s="493"/>
      <c r="IT63" s="493"/>
      <c r="IU63" s="493"/>
      <c r="IV63" s="493"/>
      <c r="IW63" s="493"/>
    </row>
    <row r="64" spans="1:257" ht="17.649999999999999" hidden="1">
      <c r="A64" s="497" t="s">
        <v>372</v>
      </c>
      <c r="B64" s="497"/>
      <c r="C64" s="502">
        <f>'SUMMARY 2018.19'!B2</f>
        <v>43555</v>
      </c>
      <c r="D64" s="493"/>
      <c r="E64" s="493"/>
      <c r="F64" s="493"/>
      <c r="G64" s="493"/>
      <c r="H64" s="493"/>
      <c r="I64" s="493"/>
      <c r="J64" s="494"/>
      <c r="K64" s="495"/>
      <c r="L64" s="493"/>
      <c r="M64" s="497"/>
      <c r="O64" s="497"/>
      <c r="Q64" s="497"/>
      <c r="AZ64" s="497"/>
      <c r="BA64" s="497"/>
      <c r="BB64" s="497"/>
      <c r="BC64" s="497"/>
      <c r="BD64" s="497"/>
      <c r="BE64" s="497"/>
      <c r="BF64" s="497"/>
      <c r="BG64" s="497"/>
      <c r="BH64" s="497"/>
      <c r="BI64" s="497"/>
      <c r="BJ64" s="497"/>
      <c r="BK64" s="497"/>
      <c r="BL64" s="497"/>
      <c r="BM64" s="497"/>
      <c r="BN64" s="497"/>
      <c r="BO64" s="497"/>
      <c r="BP64" s="497"/>
      <c r="BQ64" s="497"/>
      <c r="BR64" s="497"/>
      <c r="BS64" s="497"/>
      <c r="BT64" s="497"/>
      <c r="BU64" s="497"/>
      <c r="BV64" s="497"/>
      <c r="BW64" s="497"/>
      <c r="BX64" s="497"/>
      <c r="BY64" s="497"/>
      <c r="BZ64" s="497"/>
      <c r="CA64" s="497"/>
      <c r="CB64" s="497"/>
      <c r="CC64" s="497"/>
      <c r="CD64" s="497"/>
      <c r="CE64" s="497"/>
      <c r="CF64" s="497"/>
      <c r="CG64" s="497"/>
      <c r="CH64" s="497"/>
      <c r="CI64" s="497"/>
      <c r="CJ64" s="497"/>
      <c r="CK64" s="497"/>
      <c r="CL64" s="497"/>
      <c r="CM64" s="497"/>
      <c r="CN64" s="497"/>
      <c r="CO64" s="497"/>
      <c r="CP64" s="497"/>
      <c r="CQ64" s="497"/>
      <c r="CR64" s="497"/>
      <c r="CS64" s="497"/>
      <c r="CT64" s="497"/>
      <c r="CU64" s="497"/>
      <c r="CV64" s="497"/>
      <c r="CW64" s="497"/>
      <c r="CX64" s="497"/>
      <c r="CY64" s="497"/>
      <c r="CZ64" s="497"/>
      <c r="DA64" s="497"/>
      <c r="DB64" s="497"/>
      <c r="DC64" s="497"/>
      <c r="DD64" s="497"/>
      <c r="DE64" s="497"/>
      <c r="DF64" s="497"/>
      <c r="DG64" s="497"/>
      <c r="DH64" s="497"/>
      <c r="DI64" s="497"/>
      <c r="DJ64" s="497"/>
      <c r="DK64" s="497"/>
      <c r="DL64" s="497"/>
      <c r="DM64" s="497"/>
      <c r="DN64" s="497"/>
      <c r="DO64" s="497"/>
      <c r="DP64" s="497"/>
      <c r="DQ64" s="497"/>
      <c r="DR64" s="497"/>
      <c r="DS64" s="497"/>
      <c r="DT64" s="497"/>
      <c r="DU64" s="497"/>
      <c r="DV64" s="497"/>
      <c r="DW64" s="497"/>
      <c r="DX64" s="497"/>
      <c r="DY64" s="497"/>
      <c r="DZ64" s="497"/>
      <c r="EA64" s="497"/>
      <c r="EB64" s="497"/>
      <c r="EC64" s="497"/>
      <c r="ED64" s="497"/>
      <c r="EE64" s="497"/>
      <c r="EF64" s="497"/>
      <c r="EG64" s="497"/>
      <c r="EH64" s="497"/>
      <c r="EI64" s="497"/>
      <c r="EJ64" s="497"/>
      <c r="EK64" s="497"/>
      <c r="EL64" s="497"/>
      <c r="EM64" s="497"/>
      <c r="EN64" s="497"/>
      <c r="EO64" s="497"/>
      <c r="EP64" s="497"/>
      <c r="EQ64" s="497"/>
      <c r="ER64" s="497"/>
      <c r="ES64" s="497"/>
      <c r="ET64" s="497"/>
      <c r="EU64" s="497"/>
      <c r="EV64" s="497"/>
      <c r="EW64" s="497"/>
      <c r="EX64" s="497"/>
      <c r="EY64" s="497"/>
      <c r="EZ64" s="497"/>
      <c r="FA64" s="497"/>
      <c r="FB64" s="497"/>
      <c r="FC64" s="497"/>
      <c r="FD64" s="497"/>
      <c r="FE64" s="497"/>
      <c r="FF64" s="497"/>
      <c r="FG64" s="497"/>
      <c r="FH64" s="497"/>
      <c r="FI64" s="497"/>
      <c r="FJ64" s="497"/>
      <c r="FK64" s="497"/>
      <c r="FL64" s="497"/>
      <c r="FM64" s="497"/>
      <c r="FN64" s="497"/>
      <c r="FO64" s="497"/>
      <c r="FP64" s="497"/>
      <c r="FQ64" s="497"/>
      <c r="FR64" s="497"/>
      <c r="FS64" s="497"/>
      <c r="FT64" s="497"/>
      <c r="FU64" s="497"/>
      <c r="FV64" s="497"/>
      <c r="FW64" s="497"/>
      <c r="FX64" s="497"/>
      <c r="FY64" s="497"/>
      <c r="FZ64" s="497"/>
      <c r="GA64" s="497"/>
      <c r="GB64" s="497"/>
      <c r="GC64" s="497"/>
      <c r="GD64" s="497"/>
      <c r="GE64" s="497"/>
      <c r="GF64" s="497"/>
      <c r="GG64" s="497"/>
      <c r="GH64" s="497"/>
      <c r="GI64" s="497"/>
      <c r="GJ64" s="497"/>
      <c r="GK64" s="497"/>
      <c r="GL64" s="497"/>
      <c r="GM64" s="497"/>
      <c r="GN64" s="497"/>
      <c r="GO64" s="497"/>
      <c r="GP64" s="497"/>
      <c r="GQ64" s="497"/>
      <c r="GR64" s="497"/>
      <c r="GS64" s="497"/>
      <c r="GT64" s="497"/>
      <c r="GU64" s="497"/>
      <c r="GV64" s="497"/>
      <c r="GW64" s="497"/>
      <c r="GX64" s="497"/>
      <c r="GY64" s="497"/>
      <c r="GZ64" s="497"/>
      <c r="HA64" s="497"/>
      <c r="HB64" s="497"/>
      <c r="HC64" s="497"/>
      <c r="HD64" s="497"/>
      <c r="HE64" s="497"/>
      <c r="HF64" s="497"/>
      <c r="HG64" s="497"/>
      <c r="HH64" s="497"/>
      <c r="HI64" s="497"/>
      <c r="HJ64" s="497"/>
      <c r="HK64" s="497"/>
      <c r="HL64" s="497"/>
      <c r="HM64" s="497"/>
      <c r="HN64" s="497"/>
      <c r="HO64" s="497"/>
      <c r="HP64" s="497"/>
      <c r="HQ64" s="497"/>
      <c r="HR64" s="497"/>
      <c r="HS64" s="497"/>
      <c r="HT64" s="497"/>
      <c r="HU64" s="497"/>
      <c r="HV64" s="497"/>
      <c r="HW64" s="497"/>
      <c r="HX64" s="497"/>
      <c r="HY64" s="497"/>
      <c r="HZ64" s="497"/>
      <c r="IA64" s="497"/>
      <c r="IB64" s="497"/>
      <c r="IC64" s="497"/>
      <c r="ID64" s="497"/>
      <c r="IE64" s="497"/>
      <c r="IF64" s="497"/>
      <c r="IG64" s="497"/>
      <c r="IH64" s="497"/>
      <c r="II64" s="497"/>
      <c r="IJ64" s="497"/>
      <c r="IK64" s="497"/>
      <c r="IL64" s="497"/>
      <c r="IM64" s="497"/>
      <c r="IN64" s="497"/>
      <c r="IO64" s="497"/>
      <c r="IP64" s="497"/>
      <c r="IQ64" s="497"/>
      <c r="IR64" s="497"/>
      <c r="IS64" s="497"/>
      <c r="IT64" s="497"/>
      <c r="IU64" s="497"/>
      <c r="IV64" s="497"/>
      <c r="IW64" s="497"/>
    </row>
    <row r="65" spans="1:257" ht="17.25" hidden="1" customHeight="1">
      <c r="A65" s="558" t="s">
        <v>308</v>
      </c>
      <c r="B65" s="558"/>
      <c r="C65" s="558"/>
      <c r="D65" s="558"/>
      <c r="E65" s="558"/>
      <c r="F65" s="558"/>
      <c r="G65" s="558"/>
      <c r="H65" s="558"/>
      <c r="I65" s="558"/>
      <c r="J65" s="558"/>
      <c r="K65" s="558"/>
      <c r="L65" s="558"/>
      <c r="M65" s="497"/>
      <c r="O65" s="497"/>
      <c r="Q65" s="497"/>
      <c r="AZ65" s="497"/>
      <c r="BA65" s="497"/>
      <c r="BB65" s="497"/>
      <c r="BC65" s="497"/>
      <c r="BD65" s="497"/>
      <c r="BE65" s="497"/>
      <c r="BF65" s="497"/>
      <c r="BG65" s="497"/>
      <c r="BH65" s="497"/>
      <c r="BI65" s="497"/>
      <c r="BJ65" s="497"/>
      <c r="BK65" s="497"/>
      <c r="BL65" s="497"/>
      <c r="BM65" s="497"/>
      <c r="BN65" s="497"/>
      <c r="BO65" s="497"/>
      <c r="BP65" s="497"/>
      <c r="BQ65" s="497"/>
      <c r="BR65" s="497"/>
      <c r="BS65" s="497"/>
      <c r="BT65" s="497"/>
      <c r="BU65" s="497"/>
      <c r="BV65" s="497"/>
      <c r="BW65" s="497"/>
      <c r="BX65" s="497"/>
      <c r="BY65" s="497"/>
      <c r="BZ65" s="497"/>
      <c r="CA65" s="497"/>
      <c r="CB65" s="497"/>
      <c r="CC65" s="497"/>
      <c r="CD65" s="497"/>
      <c r="CE65" s="497"/>
      <c r="CF65" s="497"/>
      <c r="CG65" s="497"/>
      <c r="CH65" s="497"/>
      <c r="CI65" s="497"/>
      <c r="CJ65" s="497"/>
      <c r="CK65" s="497"/>
      <c r="CL65" s="497"/>
      <c r="CM65" s="497"/>
      <c r="CN65" s="497"/>
      <c r="CO65" s="497"/>
      <c r="CP65" s="497"/>
      <c r="CQ65" s="497"/>
      <c r="CR65" s="497"/>
      <c r="CS65" s="497"/>
      <c r="CT65" s="497"/>
      <c r="CU65" s="497"/>
      <c r="CV65" s="497"/>
      <c r="CW65" s="497"/>
      <c r="CX65" s="497"/>
      <c r="CY65" s="497"/>
      <c r="CZ65" s="497"/>
      <c r="DA65" s="497"/>
      <c r="DB65" s="497"/>
      <c r="DC65" s="497"/>
      <c r="DD65" s="497"/>
      <c r="DE65" s="497"/>
      <c r="DF65" s="497"/>
      <c r="DG65" s="497"/>
      <c r="DH65" s="497"/>
      <c r="DI65" s="497"/>
      <c r="DJ65" s="497"/>
      <c r="DK65" s="497"/>
      <c r="DL65" s="497"/>
      <c r="DM65" s="497"/>
      <c r="DN65" s="497"/>
      <c r="DO65" s="497"/>
      <c r="DP65" s="497"/>
      <c r="DQ65" s="497"/>
      <c r="DR65" s="497"/>
      <c r="DS65" s="497"/>
      <c r="DT65" s="497"/>
      <c r="DU65" s="497"/>
      <c r="DV65" s="497"/>
      <c r="DW65" s="497"/>
      <c r="DX65" s="497"/>
      <c r="DY65" s="497"/>
      <c r="DZ65" s="497"/>
      <c r="EA65" s="497"/>
      <c r="EB65" s="497"/>
      <c r="EC65" s="497"/>
      <c r="ED65" s="497"/>
      <c r="EE65" s="497"/>
      <c r="EF65" s="497"/>
      <c r="EG65" s="497"/>
      <c r="EH65" s="497"/>
      <c r="EI65" s="497"/>
      <c r="EJ65" s="497"/>
      <c r="EK65" s="497"/>
      <c r="EL65" s="497"/>
      <c r="EM65" s="497"/>
      <c r="EN65" s="497"/>
      <c r="EO65" s="497"/>
      <c r="EP65" s="497"/>
      <c r="EQ65" s="497"/>
      <c r="ER65" s="497"/>
      <c r="ES65" s="497"/>
      <c r="ET65" s="497"/>
      <c r="EU65" s="497"/>
      <c r="EV65" s="497"/>
      <c r="EW65" s="497"/>
      <c r="EX65" s="497"/>
      <c r="EY65" s="497"/>
      <c r="EZ65" s="497"/>
      <c r="FA65" s="497"/>
      <c r="FB65" s="497"/>
      <c r="FC65" s="497"/>
      <c r="FD65" s="497"/>
      <c r="FE65" s="497"/>
      <c r="FF65" s="497"/>
      <c r="FG65" s="497"/>
      <c r="FH65" s="497"/>
      <c r="FI65" s="497"/>
      <c r="FJ65" s="497"/>
      <c r="FK65" s="497"/>
      <c r="FL65" s="497"/>
      <c r="FM65" s="497"/>
      <c r="FN65" s="497"/>
      <c r="FO65" s="497"/>
      <c r="FP65" s="497"/>
      <c r="FQ65" s="497"/>
      <c r="FR65" s="497"/>
      <c r="FS65" s="497"/>
      <c r="FT65" s="497"/>
      <c r="FU65" s="497"/>
      <c r="FV65" s="497"/>
      <c r="FW65" s="497"/>
      <c r="FX65" s="497"/>
      <c r="FY65" s="497"/>
      <c r="FZ65" s="497"/>
      <c r="GA65" s="497"/>
      <c r="GB65" s="497"/>
      <c r="GC65" s="497"/>
      <c r="GD65" s="497"/>
      <c r="GE65" s="497"/>
      <c r="GF65" s="497"/>
      <c r="GG65" s="497"/>
      <c r="GH65" s="497"/>
      <c r="GI65" s="497"/>
      <c r="GJ65" s="497"/>
      <c r="GK65" s="497"/>
      <c r="GL65" s="497"/>
      <c r="GM65" s="497"/>
      <c r="GN65" s="497"/>
      <c r="GO65" s="497"/>
      <c r="GP65" s="497"/>
      <c r="GQ65" s="497"/>
      <c r="GR65" s="497"/>
      <c r="GS65" s="497"/>
      <c r="GT65" s="497"/>
      <c r="GU65" s="497"/>
      <c r="GV65" s="497"/>
      <c r="GW65" s="497"/>
      <c r="GX65" s="497"/>
      <c r="GY65" s="497"/>
      <c r="GZ65" s="497"/>
      <c r="HA65" s="497"/>
      <c r="HB65" s="497"/>
      <c r="HC65" s="497"/>
      <c r="HD65" s="497"/>
      <c r="HE65" s="497"/>
      <c r="HF65" s="497"/>
      <c r="HG65" s="497"/>
      <c r="HH65" s="497"/>
      <c r="HI65" s="497"/>
      <c r="HJ65" s="497"/>
      <c r="HK65" s="497"/>
      <c r="HL65" s="497"/>
      <c r="HM65" s="497"/>
      <c r="HN65" s="497"/>
      <c r="HO65" s="497"/>
      <c r="HP65" s="497"/>
      <c r="HQ65" s="497"/>
      <c r="HR65" s="497"/>
      <c r="HS65" s="497"/>
      <c r="HT65" s="497"/>
      <c r="HU65" s="497"/>
      <c r="HV65" s="497"/>
      <c r="HW65" s="497"/>
      <c r="HX65" s="497"/>
      <c r="HY65" s="497"/>
      <c r="HZ65" s="497"/>
      <c r="IA65" s="497"/>
      <c r="IB65" s="497"/>
      <c r="IC65" s="497"/>
      <c r="ID65" s="497"/>
      <c r="IE65" s="497"/>
      <c r="IF65" s="497"/>
      <c r="IG65" s="497"/>
      <c r="IH65" s="497"/>
      <c r="II65" s="497"/>
      <c r="IJ65" s="497"/>
      <c r="IK65" s="497"/>
      <c r="IL65" s="497"/>
      <c r="IM65" s="497"/>
      <c r="IN65" s="497"/>
      <c r="IO65" s="497"/>
      <c r="IP65" s="497"/>
      <c r="IQ65" s="497"/>
      <c r="IR65" s="497"/>
      <c r="IS65" s="497"/>
      <c r="IT65" s="497"/>
      <c r="IU65" s="497"/>
      <c r="IV65" s="497"/>
      <c r="IW65" s="497"/>
    </row>
    <row r="66" spans="1:257" ht="17.649999999999999" hidden="1">
      <c r="A66" s="493"/>
      <c r="B66" s="493"/>
      <c r="C66" s="493"/>
      <c r="D66" s="493"/>
      <c r="E66" s="493"/>
      <c r="F66" s="493"/>
      <c r="G66" s="493"/>
      <c r="H66" s="493"/>
      <c r="I66" s="493"/>
      <c r="J66" s="494"/>
      <c r="K66" s="495"/>
      <c r="L66" s="493"/>
      <c r="M66" s="497"/>
      <c r="O66" s="497"/>
      <c r="Q66" s="497"/>
      <c r="AZ66" s="497"/>
      <c r="BA66" s="497"/>
      <c r="BB66" s="497"/>
      <c r="BC66" s="497"/>
      <c r="BD66" s="497"/>
      <c r="BE66" s="497"/>
      <c r="BF66" s="497"/>
      <c r="BG66" s="497"/>
      <c r="BH66" s="497"/>
      <c r="BI66" s="497"/>
      <c r="BJ66" s="497"/>
      <c r="BK66" s="497"/>
      <c r="BL66" s="497"/>
      <c r="BM66" s="497"/>
      <c r="BN66" s="497"/>
      <c r="BO66" s="497"/>
      <c r="BP66" s="497"/>
      <c r="BQ66" s="497"/>
      <c r="BR66" s="497"/>
      <c r="BS66" s="497"/>
      <c r="BT66" s="497"/>
      <c r="BU66" s="497"/>
      <c r="BV66" s="497"/>
      <c r="BW66" s="497"/>
      <c r="BX66" s="497"/>
      <c r="BY66" s="497"/>
      <c r="BZ66" s="497"/>
      <c r="CA66" s="497"/>
      <c r="CB66" s="497"/>
      <c r="CC66" s="497"/>
      <c r="CD66" s="497"/>
      <c r="CE66" s="497"/>
      <c r="CF66" s="497"/>
      <c r="CG66" s="497"/>
      <c r="CH66" s="497"/>
      <c r="CI66" s="497"/>
      <c r="CJ66" s="497"/>
      <c r="CK66" s="497"/>
      <c r="CL66" s="497"/>
      <c r="CM66" s="497"/>
      <c r="CN66" s="497"/>
      <c r="CO66" s="497"/>
      <c r="CP66" s="497"/>
      <c r="CQ66" s="497"/>
      <c r="CR66" s="497"/>
      <c r="CS66" s="497"/>
      <c r="CT66" s="497"/>
      <c r="CU66" s="497"/>
      <c r="CV66" s="497"/>
      <c r="CW66" s="497"/>
      <c r="CX66" s="497"/>
      <c r="CY66" s="497"/>
      <c r="CZ66" s="497"/>
      <c r="DA66" s="497"/>
      <c r="DB66" s="497"/>
      <c r="DC66" s="497"/>
      <c r="DD66" s="497"/>
      <c r="DE66" s="497"/>
      <c r="DF66" s="497"/>
      <c r="DG66" s="497"/>
      <c r="DH66" s="497"/>
      <c r="DI66" s="497"/>
      <c r="DJ66" s="497"/>
      <c r="DK66" s="497"/>
      <c r="DL66" s="497"/>
      <c r="DM66" s="497"/>
      <c r="DN66" s="497"/>
      <c r="DO66" s="497"/>
      <c r="DP66" s="497"/>
      <c r="DQ66" s="497"/>
      <c r="DR66" s="497"/>
      <c r="DS66" s="497"/>
      <c r="DT66" s="497"/>
      <c r="DU66" s="497"/>
      <c r="DV66" s="497"/>
      <c r="DW66" s="497"/>
      <c r="DX66" s="497"/>
      <c r="DY66" s="497"/>
      <c r="DZ66" s="497"/>
      <c r="EA66" s="497"/>
      <c r="EB66" s="497"/>
      <c r="EC66" s="497"/>
      <c r="ED66" s="497"/>
      <c r="EE66" s="497"/>
      <c r="EF66" s="497"/>
      <c r="EG66" s="497"/>
      <c r="EH66" s="497"/>
      <c r="EI66" s="497"/>
      <c r="EJ66" s="497"/>
      <c r="EK66" s="497"/>
      <c r="EL66" s="497"/>
      <c r="EM66" s="497"/>
      <c r="EN66" s="497"/>
      <c r="EO66" s="497"/>
      <c r="EP66" s="497"/>
      <c r="EQ66" s="497"/>
      <c r="ER66" s="497"/>
      <c r="ES66" s="497"/>
      <c r="ET66" s="497"/>
      <c r="EU66" s="497"/>
      <c r="EV66" s="497"/>
      <c r="EW66" s="497"/>
      <c r="EX66" s="497"/>
      <c r="EY66" s="497"/>
      <c r="EZ66" s="497"/>
      <c r="FA66" s="497"/>
      <c r="FB66" s="497"/>
      <c r="FC66" s="497"/>
      <c r="FD66" s="497"/>
      <c r="FE66" s="497"/>
      <c r="FF66" s="497"/>
      <c r="FG66" s="497"/>
      <c r="FH66" s="497"/>
      <c r="FI66" s="497"/>
      <c r="FJ66" s="497"/>
      <c r="FK66" s="497"/>
      <c r="FL66" s="497"/>
      <c r="FM66" s="497"/>
      <c r="FN66" s="497"/>
      <c r="FO66" s="497"/>
      <c r="FP66" s="497"/>
      <c r="FQ66" s="497"/>
      <c r="FR66" s="497"/>
      <c r="FS66" s="497"/>
      <c r="FT66" s="497"/>
      <c r="FU66" s="497"/>
      <c r="FV66" s="497"/>
      <c r="FW66" s="497"/>
      <c r="FX66" s="497"/>
      <c r="FY66" s="497"/>
      <c r="FZ66" s="497"/>
      <c r="GA66" s="497"/>
      <c r="GB66" s="497"/>
      <c r="GC66" s="497"/>
      <c r="GD66" s="497"/>
      <c r="GE66" s="497"/>
      <c r="GF66" s="497"/>
      <c r="GG66" s="497"/>
      <c r="GH66" s="497"/>
      <c r="GI66" s="497"/>
      <c r="GJ66" s="497"/>
      <c r="GK66" s="497"/>
      <c r="GL66" s="497"/>
      <c r="GM66" s="497"/>
      <c r="GN66" s="497"/>
      <c r="GO66" s="497"/>
      <c r="GP66" s="497"/>
      <c r="GQ66" s="497"/>
      <c r="GR66" s="497"/>
      <c r="GS66" s="497"/>
      <c r="GT66" s="497"/>
      <c r="GU66" s="497"/>
      <c r="GV66" s="497"/>
      <c r="GW66" s="497"/>
      <c r="GX66" s="497"/>
      <c r="GY66" s="497"/>
      <c r="GZ66" s="497"/>
      <c r="HA66" s="497"/>
      <c r="HB66" s="497"/>
      <c r="HC66" s="497"/>
      <c r="HD66" s="497"/>
      <c r="HE66" s="497"/>
      <c r="HF66" s="497"/>
      <c r="HG66" s="497"/>
      <c r="HH66" s="497"/>
      <c r="HI66" s="497"/>
      <c r="HJ66" s="497"/>
      <c r="HK66" s="497"/>
      <c r="HL66" s="497"/>
      <c r="HM66" s="497"/>
      <c r="HN66" s="497"/>
      <c r="HO66" s="497"/>
      <c r="HP66" s="497"/>
      <c r="HQ66" s="497"/>
      <c r="HR66" s="497"/>
      <c r="HS66" s="497"/>
      <c r="HT66" s="497"/>
      <c r="HU66" s="497"/>
      <c r="HV66" s="497"/>
      <c r="HW66" s="497"/>
      <c r="HX66" s="497"/>
      <c r="HY66" s="497"/>
      <c r="HZ66" s="497"/>
      <c r="IA66" s="497"/>
      <c r="IB66" s="497"/>
      <c r="IC66" s="497"/>
      <c r="ID66" s="497"/>
      <c r="IE66" s="497"/>
      <c r="IF66" s="497"/>
      <c r="IG66" s="497"/>
      <c r="IH66" s="497"/>
      <c r="II66" s="497"/>
      <c r="IJ66" s="497"/>
      <c r="IK66" s="497"/>
      <c r="IL66" s="497"/>
      <c r="IM66" s="497"/>
      <c r="IN66" s="497"/>
      <c r="IO66" s="497"/>
      <c r="IP66" s="497"/>
      <c r="IQ66" s="497"/>
      <c r="IR66" s="497"/>
      <c r="IS66" s="497"/>
      <c r="IT66" s="497"/>
      <c r="IU66" s="497"/>
      <c r="IV66" s="497"/>
      <c r="IW66" s="497"/>
    </row>
    <row r="67" spans="1:257" ht="52.9" hidden="1">
      <c r="A67" s="529" t="s">
        <v>207</v>
      </c>
      <c r="B67" s="529" t="s">
        <v>208</v>
      </c>
      <c r="C67" s="529" t="s">
        <v>209</v>
      </c>
      <c r="D67" s="529" t="s">
        <v>210</v>
      </c>
      <c r="E67" s="529"/>
      <c r="F67" s="529" t="s">
        <v>212</v>
      </c>
      <c r="G67" s="529"/>
      <c r="H67" s="529" t="s">
        <v>309</v>
      </c>
      <c r="I67" s="530"/>
      <c r="J67" s="531" t="s">
        <v>310</v>
      </c>
      <c r="K67" s="531" t="s">
        <v>53</v>
      </c>
      <c r="L67" s="531" t="s">
        <v>311</v>
      </c>
      <c r="M67" s="497"/>
      <c r="O67" s="497"/>
      <c r="Q67" s="497"/>
      <c r="AZ67" s="497"/>
      <c r="BA67" s="497"/>
      <c r="BB67" s="497"/>
      <c r="BC67" s="497"/>
      <c r="BD67" s="497"/>
      <c r="BE67" s="497"/>
      <c r="BF67" s="497"/>
      <c r="BG67" s="497"/>
      <c r="BH67" s="497"/>
      <c r="BI67" s="497"/>
      <c r="BJ67" s="497"/>
      <c r="BK67" s="497"/>
      <c r="BL67" s="497"/>
      <c r="BM67" s="497"/>
      <c r="BN67" s="497"/>
      <c r="BO67" s="497"/>
      <c r="BP67" s="497"/>
      <c r="BQ67" s="497"/>
      <c r="BR67" s="497"/>
      <c r="BS67" s="497"/>
      <c r="BT67" s="497"/>
      <c r="BU67" s="497"/>
      <c r="BV67" s="497"/>
      <c r="BW67" s="497"/>
      <c r="BX67" s="497"/>
      <c r="BY67" s="497"/>
      <c r="BZ67" s="497"/>
      <c r="CA67" s="497"/>
      <c r="CB67" s="497"/>
      <c r="CC67" s="497"/>
      <c r="CD67" s="497"/>
      <c r="CE67" s="497"/>
      <c r="CF67" s="497"/>
      <c r="CG67" s="497"/>
      <c r="CH67" s="497"/>
      <c r="CI67" s="497"/>
      <c r="CJ67" s="497"/>
      <c r="CK67" s="497"/>
      <c r="CL67" s="497"/>
      <c r="CM67" s="497"/>
      <c r="CN67" s="497"/>
      <c r="CO67" s="497"/>
      <c r="CP67" s="497"/>
      <c r="CQ67" s="497"/>
      <c r="CR67" s="497"/>
      <c r="CS67" s="497"/>
      <c r="CT67" s="497"/>
      <c r="CU67" s="497"/>
      <c r="CV67" s="497"/>
      <c r="CW67" s="497"/>
      <c r="CX67" s="497"/>
      <c r="CY67" s="497"/>
      <c r="CZ67" s="497"/>
      <c r="DA67" s="497"/>
      <c r="DB67" s="497"/>
      <c r="DC67" s="497"/>
      <c r="DD67" s="497"/>
      <c r="DE67" s="497"/>
      <c r="DF67" s="497"/>
      <c r="DG67" s="497"/>
      <c r="DH67" s="497"/>
      <c r="DI67" s="497"/>
      <c r="DJ67" s="497"/>
      <c r="DK67" s="497"/>
      <c r="DL67" s="497"/>
      <c r="DM67" s="497"/>
      <c r="DN67" s="497"/>
      <c r="DO67" s="497"/>
      <c r="DP67" s="497"/>
      <c r="DQ67" s="497"/>
      <c r="DR67" s="497"/>
      <c r="DS67" s="497"/>
      <c r="DT67" s="497"/>
      <c r="DU67" s="497"/>
      <c r="DV67" s="497"/>
      <c r="DW67" s="497"/>
      <c r="DX67" s="497"/>
      <c r="DY67" s="497"/>
      <c r="DZ67" s="497"/>
      <c r="EA67" s="497"/>
      <c r="EB67" s="497"/>
      <c r="EC67" s="497"/>
      <c r="ED67" s="497"/>
      <c r="EE67" s="497"/>
      <c r="EF67" s="497"/>
      <c r="EG67" s="497"/>
      <c r="EH67" s="497"/>
      <c r="EI67" s="497"/>
      <c r="EJ67" s="497"/>
      <c r="EK67" s="497"/>
      <c r="EL67" s="497"/>
      <c r="EM67" s="497"/>
      <c r="EN67" s="497"/>
      <c r="EO67" s="497"/>
      <c r="EP67" s="497"/>
      <c r="EQ67" s="497"/>
      <c r="ER67" s="497"/>
      <c r="ES67" s="497"/>
      <c r="ET67" s="497"/>
      <c r="EU67" s="497"/>
      <c r="EV67" s="497"/>
      <c r="EW67" s="497"/>
      <c r="EX67" s="497"/>
      <c r="EY67" s="497"/>
      <c r="EZ67" s="497"/>
      <c r="FA67" s="497"/>
      <c r="FB67" s="497"/>
      <c r="FC67" s="497"/>
      <c r="FD67" s="497"/>
      <c r="FE67" s="497"/>
      <c r="FF67" s="497"/>
      <c r="FG67" s="497"/>
      <c r="FH67" s="497"/>
      <c r="FI67" s="497"/>
      <c r="FJ67" s="497"/>
      <c r="FK67" s="497"/>
      <c r="FL67" s="497"/>
      <c r="FM67" s="497"/>
      <c r="FN67" s="497"/>
      <c r="FO67" s="497"/>
      <c r="FP67" s="497"/>
      <c r="FQ67" s="497"/>
      <c r="FR67" s="497"/>
      <c r="FS67" s="497"/>
      <c r="FT67" s="497"/>
      <c r="FU67" s="497"/>
      <c r="FV67" s="497"/>
      <c r="FW67" s="497"/>
      <c r="FX67" s="497"/>
      <c r="FY67" s="497"/>
      <c r="FZ67" s="497"/>
      <c r="GA67" s="497"/>
      <c r="GB67" s="497"/>
      <c r="GC67" s="497"/>
      <c r="GD67" s="497"/>
      <c r="GE67" s="497"/>
      <c r="GF67" s="497"/>
      <c r="GG67" s="497"/>
      <c r="GH67" s="497"/>
      <c r="GI67" s="497"/>
      <c r="GJ67" s="497"/>
      <c r="GK67" s="497"/>
      <c r="GL67" s="497"/>
      <c r="GM67" s="497"/>
      <c r="GN67" s="497"/>
      <c r="GO67" s="497"/>
      <c r="GP67" s="497"/>
      <c r="GQ67" s="497"/>
      <c r="GR67" s="497"/>
      <c r="GS67" s="497"/>
      <c r="GT67" s="497"/>
      <c r="GU67" s="497"/>
      <c r="GV67" s="497"/>
      <c r="GW67" s="497"/>
      <c r="GX67" s="497"/>
      <c r="GY67" s="497"/>
      <c r="GZ67" s="497"/>
      <c r="HA67" s="497"/>
      <c r="HB67" s="497"/>
      <c r="HC67" s="497"/>
      <c r="HD67" s="497"/>
      <c r="HE67" s="497"/>
      <c r="HF67" s="497"/>
      <c r="HG67" s="497"/>
      <c r="HH67" s="497"/>
      <c r="HI67" s="497"/>
      <c r="HJ67" s="497"/>
      <c r="HK67" s="497"/>
      <c r="HL67" s="497"/>
      <c r="HM67" s="497"/>
      <c r="HN67" s="497"/>
      <c r="HO67" s="497"/>
      <c r="HP67" s="497"/>
      <c r="HQ67" s="497"/>
      <c r="HR67" s="497"/>
      <c r="HS67" s="497"/>
      <c r="HT67" s="497"/>
      <c r="HU67" s="497"/>
      <c r="HV67" s="497"/>
      <c r="HW67" s="497"/>
      <c r="HX67" s="497"/>
      <c r="HY67" s="497"/>
      <c r="HZ67" s="497"/>
      <c r="IA67" s="497"/>
      <c r="IB67" s="497"/>
      <c r="IC67" s="497"/>
      <c r="ID67" s="497"/>
      <c r="IE67" s="497"/>
      <c r="IF67" s="497"/>
      <c r="IG67" s="497"/>
      <c r="IH67" s="497"/>
      <c r="II67" s="497"/>
      <c r="IJ67" s="497"/>
      <c r="IK67" s="497"/>
      <c r="IL67" s="497"/>
      <c r="IM67" s="497"/>
      <c r="IN67" s="497"/>
      <c r="IO67" s="497"/>
      <c r="IP67" s="497"/>
      <c r="IQ67" s="497"/>
      <c r="IR67" s="497"/>
      <c r="IS67" s="497"/>
      <c r="IT67" s="497"/>
      <c r="IU67" s="497"/>
      <c r="IV67" s="497"/>
      <c r="IW67" s="497"/>
    </row>
    <row r="68" spans="1:257" ht="34.9" hidden="1" customHeight="1">
      <c r="A68" s="532"/>
      <c r="B68" s="532"/>
      <c r="C68" s="532">
        <v>86.9</v>
      </c>
      <c r="D68" s="532"/>
      <c r="E68" s="532"/>
      <c r="F68" s="532"/>
      <c r="G68" s="532"/>
      <c r="H68" s="493">
        <f t="shared" ref="H68:H77" si="3">SUM(A68:F68)</f>
        <v>86.9</v>
      </c>
      <c r="I68" s="497"/>
      <c r="J68" s="533" t="s">
        <v>373</v>
      </c>
      <c r="K68" s="500">
        <v>43264</v>
      </c>
      <c r="L68" s="503" t="s">
        <v>374</v>
      </c>
      <c r="M68" s="524"/>
      <c r="O68" s="497"/>
      <c r="Q68" s="497"/>
      <c r="R68" s="524"/>
      <c r="AZ68" s="497"/>
      <c r="BA68" s="497"/>
      <c r="BB68" s="497"/>
      <c r="BC68" s="497"/>
      <c r="BD68" s="497"/>
      <c r="BE68" s="497"/>
      <c r="BF68" s="497"/>
      <c r="BG68" s="497"/>
      <c r="BH68" s="497"/>
      <c r="BI68" s="497"/>
      <c r="BJ68" s="497"/>
      <c r="BK68" s="497"/>
      <c r="BL68" s="497"/>
      <c r="BM68" s="497"/>
      <c r="BN68" s="497"/>
      <c r="BO68" s="497"/>
      <c r="BP68" s="497"/>
      <c r="BQ68" s="497"/>
      <c r="BR68" s="497"/>
      <c r="BS68" s="497"/>
      <c r="BT68" s="497"/>
      <c r="BU68" s="497"/>
      <c r="BV68" s="497"/>
      <c r="BW68" s="497"/>
      <c r="BX68" s="497"/>
      <c r="BY68" s="497"/>
      <c r="BZ68" s="497"/>
      <c r="CA68" s="497"/>
      <c r="CB68" s="497"/>
      <c r="CC68" s="497"/>
      <c r="CD68" s="497"/>
      <c r="CE68" s="497"/>
      <c r="CF68" s="497"/>
      <c r="CG68" s="497"/>
      <c r="CH68" s="497"/>
      <c r="CI68" s="497"/>
      <c r="CJ68" s="497"/>
      <c r="CK68" s="497"/>
      <c r="CL68" s="497"/>
      <c r="CM68" s="497"/>
      <c r="CN68" s="497"/>
      <c r="CO68" s="497"/>
      <c r="CP68" s="497"/>
      <c r="CQ68" s="497"/>
      <c r="CR68" s="497"/>
      <c r="CS68" s="497"/>
      <c r="CT68" s="497"/>
      <c r="CU68" s="497"/>
      <c r="CV68" s="497"/>
      <c r="CW68" s="497"/>
      <c r="CX68" s="497"/>
      <c r="CY68" s="497"/>
      <c r="CZ68" s="497"/>
      <c r="DA68" s="497"/>
      <c r="DB68" s="497"/>
      <c r="DC68" s="497"/>
      <c r="DD68" s="497"/>
      <c r="DE68" s="497"/>
      <c r="DF68" s="497"/>
      <c r="DG68" s="497"/>
      <c r="DH68" s="497"/>
      <c r="DI68" s="497"/>
      <c r="DJ68" s="497"/>
      <c r="DK68" s="497"/>
      <c r="DL68" s="497"/>
      <c r="DM68" s="497"/>
      <c r="DN68" s="497"/>
      <c r="DO68" s="497"/>
      <c r="DP68" s="497"/>
      <c r="DQ68" s="497"/>
      <c r="DR68" s="497"/>
      <c r="DS68" s="497"/>
      <c r="DT68" s="497"/>
      <c r="DU68" s="497"/>
      <c r="DV68" s="497"/>
      <c r="DW68" s="497"/>
      <c r="DX68" s="497"/>
      <c r="DY68" s="497"/>
      <c r="DZ68" s="497"/>
      <c r="EA68" s="497"/>
      <c r="EB68" s="497"/>
      <c r="EC68" s="497"/>
      <c r="ED68" s="497"/>
      <c r="EE68" s="497"/>
      <c r="EF68" s="497"/>
      <c r="EG68" s="497"/>
      <c r="EH68" s="497"/>
      <c r="EI68" s="497"/>
      <c r="EJ68" s="497"/>
      <c r="EK68" s="497"/>
      <c r="EL68" s="497"/>
      <c r="EM68" s="497"/>
      <c r="EN68" s="497"/>
      <c r="EO68" s="497"/>
      <c r="EP68" s="497"/>
      <c r="EQ68" s="497"/>
      <c r="ER68" s="497"/>
      <c r="ES68" s="497"/>
      <c r="ET68" s="497"/>
      <c r="EU68" s="497"/>
      <c r="EV68" s="497"/>
      <c r="EW68" s="497"/>
      <c r="EX68" s="497"/>
      <c r="EY68" s="497"/>
      <c r="EZ68" s="497"/>
      <c r="FA68" s="497"/>
      <c r="FB68" s="497"/>
      <c r="FC68" s="497"/>
      <c r="FD68" s="497"/>
      <c r="FE68" s="497"/>
      <c r="FF68" s="497"/>
      <c r="FG68" s="497"/>
      <c r="FH68" s="497"/>
      <c r="FI68" s="497"/>
      <c r="FJ68" s="497"/>
      <c r="FK68" s="497"/>
      <c r="FL68" s="497"/>
      <c r="FM68" s="497"/>
      <c r="FN68" s="497"/>
      <c r="FO68" s="497"/>
      <c r="FP68" s="497"/>
      <c r="FQ68" s="497"/>
      <c r="FR68" s="497"/>
      <c r="FS68" s="497"/>
      <c r="FT68" s="497"/>
      <c r="FU68" s="497"/>
      <c r="FV68" s="497"/>
      <c r="FW68" s="497"/>
      <c r="FX68" s="497"/>
      <c r="FY68" s="497"/>
      <c r="FZ68" s="497"/>
      <c r="GA68" s="497"/>
      <c r="GB68" s="497"/>
      <c r="GC68" s="497"/>
      <c r="GD68" s="497"/>
      <c r="GE68" s="497"/>
      <c r="GF68" s="497"/>
      <c r="GG68" s="497"/>
      <c r="GH68" s="497"/>
      <c r="GI68" s="497"/>
      <c r="GJ68" s="497"/>
      <c r="GK68" s="497"/>
      <c r="GL68" s="497"/>
      <c r="GM68" s="497"/>
      <c r="GN68" s="497"/>
      <c r="GO68" s="497"/>
      <c r="GP68" s="497"/>
      <c r="GQ68" s="497"/>
      <c r="GR68" s="497"/>
      <c r="GS68" s="497"/>
      <c r="GT68" s="497"/>
      <c r="GU68" s="497"/>
      <c r="GV68" s="497"/>
      <c r="GW68" s="497"/>
      <c r="GX68" s="497"/>
      <c r="GY68" s="497"/>
      <c r="GZ68" s="497"/>
      <c r="HA68" s="497"/>
      <c r="HB68" s="497"/>
      <c r="HC68" s="497"/>
      <c r="HD68" s="497"/>
      <c r="HE68" s="497"/>
      <c r="HF68" s="497"/>
      <c r="HG68" s="497"/>
      <c r="HH68" s="497"/>
      <c r="HI68" s="497"/>
      <c r="HJ68" s="497"/>
      <c r="HK68" s="497"/>
      <c r="HL68" s="497"/>
      <c r="HM68" s="497"/>
      <c r="HN68" s="497"/>
      <c r="HO68" s="497"/>
      <c r="HP68" s="497"/>
      <c r="HQ68" s="497"/>
      <c r="HR68" s="497"/>
      <c r="HS68" s="497"/>
      <c r="HT68" s="497"/>
      <c r="HU68" s="497"/>
      <c r="HV68" s="497"/>
      <c r="HW68" s="497"/>
      <c r="HX68" s="497"/>
      <c r="HY68" s="497"/>
      <c r="HZ68" s="497"/>
      <c r="IA68" s="497"/>
      <c r="IB68" s="497"/>
      <c r="IC68" s="497"/>
      <c r="ID68" s="497"/>
      <c r="IE68" s="497"/>
      <c r="IF68" s="497"/>
      <c r="IG68" s="497"/>
      <c r="IH68" s="497"/>
      <c r="II68" s="497"/>
      <c r="IJ68" s="497"/>
      <c r="IK68" s="497"/>
      <c r="IL68" s="497"/>
      <c r="IM68" s="497"/>
      <c r="IN68" s="497"/>
      <c r="IO68" s="497"/>
      <c r="IP68" s="497"/>
      <c r="IQ68" s="497"/>
      <c r="IR68" s="497"/>
      <c r="IS68" s="497"/>
      <c r="IT68" s="497"/>
      <c r="IU68" s="497"/>
      <c r="IV68" s="497"/>
      <c r="IW68" s="497"/>
    </row>
    <row r="69" spans="1:257" ht="17.649999999999999" hidden="1" customHeight="1">
      <c r="A69" s="532"/>
      <c r="B69" s="532"/>
      <c r="C69" s="532"/>
      <c r="D69" s="532">
        <f>244.5</f>
        <v>244.5</v>
      </c>
      <c r="E69" s="532"/>
      <c r="F69" s="532"/>
      <c r="G69" s="532"/>
      <c r="H69" s="493">
        <f t="shared" si="3"/>
        <v>244.5</v>
      </c>
      <c r="I69" s="497"/>
      <c r="J69" s="534" t="s">
        <v>375</v>
      </c>
      <c r="K69" s="500">
        <v>43399</v>
      </c>
      <c r="L69" s="503" t="s">
        <v>376</v>
      </c>
      <c r="M69" s="524"/>
      <c r="O69" s="497"/>
      <c r="Q69" s="497"/>
      <c r="R69" s="524"/>
      <c r="AZ69" s="497"/>
      <c r="BA69" s="497"/>
      <c r="BB69" s="497"/>
      <c r="BC69" s="497"/>
      <c r="BD69" s="497"/>
      <c r="BE69" s="497"/>
      <c r="BF69" s="497"/>
      <c r="BG69" s="497"/>
      <c r="BH69" s="497"/>
      <c r="BI69" s="497"/>
      <c r="BJ69" s="497"/>
      <c r="BK69" s="497"/>
      <c r="BL69" s="497"/>
      <c r="BM69" s="497"/>
      <c r="BN69" s="497"/>
      <c r="BO69" s="497"/>
      <c r="BP69" s="497"/>
      <c r="BQ69" s="497"/>
      <c r="BR69" s="497"/>
      <c r="BS69" s="497"/>
      <c r="BT69" s="497"/>
      <c r="BU69" s="497"/>
      <c r="BV69" s="497"/>
      <c r="BW69" s="497"/>
      <c r="BX69" s="497"/>
      <c r="BY69" s="497"/>
      <c r="BZ69" s="497"/>
      <c r="CA69" s="497"/>
      <c r="CB69" s="497"/>
      <c r="CC69" s="497"/>
      <c r="CD69" s="497"/>
      <c r="CE69" s="497"/>
      <c r="CF69" s="497"/>
      <c r="CG69" s="497"/>
      <c r="CH69" s="497"/>
      <c r="CI69" s="497"/>
      <c r="CJ69" s="497"/>
      <c r="CK69" s="497"/>
      <c r="CL69" s="497"/>
      <c r="CM69" s="497"/>
      <c r="CN69" s="497"/>
      <c r="CO69" s="497"/>
      <c r="CP69" s="497"/>
      <c r="CQ69" s="497"/>
      <c r="CR69" s="497"/>
      <c r="CS69" s="497"/>
      <c r="CT69" s="497"/>
      <c r="CU69" s="497"/>
      <c r="CV69" s="497"/>
      <c r="CW69" s="497"/>
      <c r="CX69" s="497"/>
      <c r="CY69" s="497"/>
      <c r="CZ69" s="497"/>
      <c r="DA69" s="497"/>
      <c r="DB69" s="497"/>
      <c r="DC69" s="497"/>
      <c r="DD69" s="497"/>
      <c r="DE69" s="497"/>
      <c r="DF69" s="497"/>
      <c r="DG69" s="497"/>
      <c r="DH69" s="497"/>
      <c r="DI69" s="497"/>
      <c r="DJ69" s="497"/>
      <c r="DK69" s="497"/>
      <c r="DL69" s="497"/>
      <c r="DM69" s="497"/>
      <c r="DN69" s="497"/>
      <c r="DO69" s="497"/>
      <c r="DP69" s="497"/>
      <c r="DQ69" s="497"/>
      <c r="DR69" s="497"/>
      <c r="DS69" s="497"/>
      <c r="DT69" s="497"/>
      <c r="DU69" s="497"/>
      <c r="DV69" s="497"/>
      <c r="DW69" s="497"/>
      <c r="DX69" s="497"/>
      <c r="DY69" s="497"/>
      <c r="DZ69" s="497"/>
      <c r="EA69" s="497"/>
      <c r="EB69" s="497"/>
      <c r="EC69" s="497"/>
      <c r="ED69" s="497"/>
      <c r="EE69" s="497"/>
      <c r="EF69" s="497"/>
      <c r="EG69" s="497"/>
      <c r="EH69" s="497"/>
      <c r="EI69" s="497"/>
      <c r="EJ69" s="497"/>
      <c r="EK69" s="497"/>
      <c r="EL69" s="497"/>
      <c r="EM69" s="497"/>
      <c r="EN69" s="497"/>
      <c r="EO69" s="497"/>
      <c r="EP69" s="497"/>
      <c r="EQ69" s="497"/>
      <c r="ER69" s="497"/>
      <c r="ES69" s="497"/>
      <c r="ET69" s="497"/>
      <c r="EU69" s="497"/>
      <c r="EV69" s="497"/>
      <c r="EW69" s="497"/>
      <c r="EX69" s="497"/>
      <c r="EY69" s="497"/>
      <c r="EZ69" s="497"/>
      <c r="FA69" s="497"/>
      <c r="FB69" s="497"/>
      <c r="FC69" s="497"/>
      <c r="FD69" s="497"/>
      <c r="FE69" s="497"/>
      <c r="FF69" s="497"/>
      <c r="FG69" s="497"/>
      <c r="FH69" s="497"/>
      <c r="FI69" s="497"/>
      <c r="FJ69" s="497"/>
      <c r="FK69" s="497"/>
      <c r="FL69" s="497"/>
      <c r="FM69" s="497"/>
      <c r="FN69" s="497"/>
      <c r="FO69" s="497"/>
      <c r="FP69" s="497"/>
      <c r="FQ69" s="497"/>
      <c r="FR69" s="497"/>
      <c r="FS69" s="497"/>
      <c r="FT69" s="497"/>
      <c r="FU69" s="497"/>
      <c r="FV69" s="497"/>
      <c r="FW69" s="497"/>
      <c r="FX69" s="497"/>
      <c r="FY69" s="497"/>
      <c r="FZ69" s="497"/>
      <c r="GA69" s="497"/>
      <c r="GB69" s="497"/>
      <c r="GC69" s="497"/>
      <c r="GD69" s="497"/>
      <c r="GE69" s="497"/>
      <c r="GF69" s="497"/>
      <c r="GG69" s="497"/>
      <c r="GH69" s="497"/>
      <c r="GI69" s="497"/>
      <c r="GJ69" s="497"/>
      <c r="GK69" s="497"/>
      <c r="GL69" s="497"/>
      <c r="GM69" s="497"/>
      <c r="GN69" s="497"/>
      <c r="GO69" s="497"/>
      <c r="GP69" s="497"/>
      <c r="GQ69" s="497"/>
      <c r="GR69" s="497"/>
      <c r="GS69" s="497"/>
      <c r="GT69" s="497"/>
      <c r="GU69" s="497"/>
      <c r="GV69" s="497"/>
      <c r="GW69" s="497"/>
      <c r="GX69" s="497"/>
      <c r="GY69" s="497"/>
      <c r="GZ69" s="497"/>
      <c r="HA69" s="497"/>
      <c r="HB69" s="497"/>
      <c r="HC69" s="497"/>
      <c r="HD69" s="497"/>
      <c r="HE69" s="497"/>
      <c r="HF69" s="497"/>
      <c r="HG69" s="497"/>
      <c r="HH69" s="497"/>
      <c r="HI69" s="497"/>
      <c r="HJ69" s="497"/>
      <c r="HK69" s="497"/>
      <c r="HL69" s="497"/>
      <c r="HM69" s="497"/>
      <c r="HN69" s="497"/>
      <c r="HO69" s="497"/>
      <c r="HP69" s="497"/>
      <c r="HQ69" s="497"/>
      <c r="HR69" s="497"/>
      <c r="HS69" s="497"/>
      <c r="HT69" s="497"/>
      <c r="HU69" s="497"/>
      <c r="HV69" s="497"/>
      <c r="HW69" s="497"/>
      <c r="HX69" s="497"/>
      <c r="HY69" s="497"/>
      <c r="HZ69" s="497"/>
      <c r="IA69" s="497"/>
      <c r="IB69" s="497"/>
      <c r="IC69" s="497"/>
      <c r="ID69" s="497"/>
      <c r="IE69" s="497"/>
      <c r="IF69" s="497"/>
      <c r="IG69" s="497"/>
      <c r="IH69" s="497"/>
      <c r="II69" s="497"/>
      <c r="IJ69" s="497"/>
      <c r="IK69" s="497"/>
      <c r="IL69" s="497"/>
      <c r="IM69" s="497"/>
      <c r="IN69" s="497"/>
      <c r="IO69" s="497"/>
      <c r="IP69" s="497"/>
      <c r="IQ69" s="497"/>
      <c r="IR69" s="497"/>
      <c r="IS69" s="497"/>
      <c r="IT69" s="497"/>
      <c r="IU69" s="497"/>
      <c r="IV69" s="497"/>
      <c r="IW69" s="497"/>
    </row>
    <row r="70" spans="1:257" ht="17.649999999999999" hidden="1" customHeight="1">
      <c r="A70" s="532"/>
      <c r="B70" s="532"/>
      <c r="C70" s="532"/>
      <c r="D70" s="532">
        <v>78.34</v>
      </c>
      <c r="E70" s="532"/>
      <c r="F70" s="532"/>
      <c r="G70" s="532"/>
      <c r="H70" s="493">
        <f t="shared" si="3"/>
        <v>78.34</v>
      </c>
      <c r="I70" s="497"/>
      <c r="J70" s="534" t="s">
        <v>377</v>
      </c>
      <c r="K70" s="500">
        <v>43416</v>
      </c>
      <c r="L70" s="503" t="s">
        <v>378</v>
      </c>
      <c r="M70" s="524"/>
      <c r="O70" s="497"/>
      <c r="Q70" s="497"/>
      <c r="R70" s="524"/>
      <c r="AZ70" s="497"/>
      <c r="BA70" s="497"/>
      <c r="BB70" s="497"/>
      <c r="BC70" s="497"/>
      <c r="BD70" s="497"/>
      <c r="BE70" s="497"/>
      <c r="BF70" s="497"/>
      <c r="BG70" s="497"/>
      <c r="BH70" s="497"/>
      <c r="BI70" s="497"/>
      <c r="BJ70" s="497"/>
      <c r="BK70" s="497"/>
      <c r="BL70" s="497"/>
      <c r="BM70" s="497"/>
      <c r="BN70" s="497"/>
      <c r="BO70" s="497"/>
      <c r="BP70" s="497"/>
      <c r="BQ70" s="497"/>
      <c r="BR70" s="497"/>
      <c r="BS70" s="497"/>
      <c r="BT70" s="497"/>
      <c r="BU70" s="497"/>
      <c r="BV70" s="497"/>
      <c r="BW70" s="497"/>
      <c r="BX70" s="497"/>
      <c r="BY70" s="497"/>
      <c r="BZ70" s="497"/>
      <c r="CA70" s="497"/>
      <c r="CB70" s="497"/>
      <c r="CC70" s="497"/>
      <c r="CD70" s="497"/>
      <c r="CE70" s="497"/>
      <c r="CF70" s="497"/>
      <c r="CG70" s="497"/>
      <c r="CH70" s="497"/>
      <c r="CI70" s="497"/>
      <c r="CJ70" s="497"/>
      <c r="CK70" s="497"/>
      <c r="CL70" s="497"/>
      <c r="CM70" s="497"/>
      <c r="CN70" s="497"/>
      <c r="CO70" s="497"/>
      <c r="CP70" s="497"/>
      <c r="CQ70" s="497"/>
      <c r="CR70" s="497"/>
      <c r="CS70" s="497"/>
      <c r="CT70" s="497"/>
      <c r="CU70" s="497"/>
      <c r="CV70" s="497"/>
      <c r="CW70" s="497"/>
      <c r="CX70" s="497"/>
      <c r="CY70" s="497"/>
      <c r="CZ70" s="497"/>
      <c r="DA70" s="497"/>
      <c r="DB70" s="497"/>
      <c r="DC70" s="497"/>
      <c r="DD70" s="497"/>
      <c r="DE70" s="497"/>
      <c r="DF70" s="497"/>
      <c r="DG70" s="497"/>
      <c r="DH70" s="497"/>
      <c r="DI70" s="497"/>
      <c r="DJ70" s="497"/>
      <c r="DK70" s="497"/>
      <c r="DL70" s="497"/>
      <c r="DM70" s="497"/>
      <c r="DN70" s="497"/>
      <c r="DO70" s="497"/>
      <c r="DP70" s="497"/>
      <c r="DQ70" s="497"/>
      <c r="DR70" s="497"/>
      <c r="DS70" s="497"/>
      <c r="DT70" s="497"/>
      <c r="DU70" s="497"/>
      <c r="DV70" s="497"/>
      <c r="DW70" s="497"/>
      <c r="DX70" s="497"/>
      <c r="DY70" s="497"/>
      <c r="DZ70" s="497"/>
      <c r="EA70" s="497"/>
      <c r="EB70" s="497"/>
      <c r="EC70" s="497"/>
      <c r="ED70" s="497"/>
      <c r="EE70" s="497"/>
      <c r="EF70" s="497"/>
      <c r="EG70" s="497"/>
      <c r="EH70" s="497"/>
      <c r="EI70" s="497"/>
      <c r="EJ70" s="497"/>
      <c r="EK70" s="497"/>
      <c r="EL70" s="497"/>
      <c r="EM70" s="497"/>
      <c r="EN70" s="497"/>
      <c r="EO70" s="497"/>
      <c r="EP70" s="497"/>
      <c r="EQ70" s="497"/>
      <c r="ER70" s="497"/>
      <c r="ES70" s="497"/>
      <c r="ET70" s="497"/>
      <c r="EU70" s="497"/>
      <c r="EV70" s="497"/>
      <c r="EW70" s="497"/>
      <c r="EX70" s="497"/>
      <c r="EY70" s="497"/>
      <c r="EZ70" s="497"/>
      <c r="FA70" s="497"/>
      <c r="FB70" s="497"/>
      <c r="FC70" s="497"/>
      <c r="FD70" s="497"/>
      <c r="FE70" s="497"/>
      <c r="FF70" s="497"/>
      <c r="FG70" s="497"/>
      <c r="FH70" s="497"/>
      <c r="FI70" s="497"/>
      <c r="FJ70" s="497"/>
      <c r="FK70" s="497"/>
      <c r="FL70" s="497"/>
      <c r="FM70" s="497"/>
      <c r="FN70" s="497"/>
      <c r="FO70" s="497"/>
      <c r="FP70" s="497"/>
      <c r="FQ70" s="497"/>
      <c r="FR70" s="497"/>
      <c r="FS70" s="497"/>
      <c r="FT70" s="497"/>
      <c r="FU70" s="497"/>
      <c r="FV70" s="497"/>
      <c r="FW70" s="497"/>
      <c r="FX70" s="497"/>
      <c r="FY70" s="497"/>
      <c r="FZ70" s="497"/>
      <c r="GA70" s="497"/>
      <c r="GB70" s="497"/>
      <c r="GC70" s="497"/>
      <c r="GD70" s="497"/>
      <c r="GE70" s="497"/>
      <c r="GF70" s="497"/>
      <c r="GG70" s="497"/>
      <c r="GH70" s="497"/>
      <c r="GI70" s="497"/>
      <c r="GJ70" s="497"/>
      <c r="GK70" s="497"/>
      <c r="GL70" s="497"/>
      <c r="GM70" s="497"/>
      <c r="GN70" s="497"/>
      <c r="GO70" s="497"/>
      <c r="GP70" s="497"/>
      <c r="GQ70" s="497"/>
      <c r="GR70" s="497"/>
      <c r="GS70" s="497"/>
      <c r="GT70" s="497"/>
      <c r="GU70" s="497"/>
      <c r="GV70" s="497"/>
      <c r="GW70" s="497"/>
      <c r="GX70" s="497"/>
      <c r="GY70" s="497"/>
      <c r="GZ70" s="497"/>
      <c r="HA70" s="497"/>
      <c r="HB70" s="497"/>
      <c r="HC70" s="497"/>
      <c r="HD70" s="497"/>
      <c r="HE70" s="497"/>
      <c r="HF70" s="497"/>
      <c r="HG70" s="497"/>
      <c r="HH70" s="497"/>
      <c r="HI70" s="497"/>
      <c r="HJ70" s="497"/>
      <c r="HK70" s="497"/>
      <c r="HL70" s="497"/>
      <c r="HM70" s="497"/>
      <c r="HN70" s="497"/>
      <c r="HO70" s="497"/>
      <c r="HP70" s="497"/>
      <c r="HQ70" s="497"/>
      <c r="HR70" s="497"/>
      <c r="HS70" s="497"/>
      <c r="HT70" s="497"/>
      <c r="HU70" s="497"/>
      <c r="HV70" s="497"/>
      <c r="HW70" s="497"/>
      <c r="HX70" s="497"/>
      <c r="HY70" s="497"/>
      <c r="HZ70" s="497"/>
      <c r="IA70" s="497"/>
      <c r="IB70" s="497"/>
      <c r="IC70" s="497"/>
      <c r="ID70" s="497"/>
      <c r="IE70" s="497"/>
      <c r="IF70" s="497"/>
      <c r="IG70" s="497"/>
      <c r="IH70" s="497"/>
      <c r="II70" s="497"/>
      <c r="IJ70" s="497"/>
      <c r="IK70" s="497"/>
      <c r="IL70" s="497"/>
      <c r="IM70" s="497"/>
      <c r="IN70" s="497"/>
      <c r="IO70" s="497"/>
      <c r="IP70" s="497"/>
      <c r="IQ70" s="497"/>
      <c r="IR70" s="497"/>
      <c r="IS70" s="497"/>
      <c r="IT70" s="497"/>
      <c r="IU70" s="497"/>
      <c r="IV70" s="497"/>
      <c r="IW70" s="497"/>
    </row>
    <row r="71" spans="1:257" ht="34.9" hidden="1" customHeight="1">
      <c r="A71" s="532"/>
      <c r="B71" s="532"/>
      <c r="C71" s="532"/>
      <c r="D71" s="532">
        <v>70.5</v>
      </c>
      <c r="E71" s="532"/>
      <c r="F71" s="532"/>
      <c r="G71" s="532"/>
      <c r="H71" s="493">
        <f t="shared" si="3"/>
        <v>70.5</v>
      </c>
      <c r="I71" s="497"/>
      <c r="J71" s="534" t="s">
        <v>377</v>
      </c>
      <c r="K71" s="500">
        <v>43417</v>
      </c>
      <c r="L71" s="503" t="s">
        <v>379</v>
      </c>
      <c r="M71" s="524"/>
      <c r="O71" s="497"/>
      <c r="Q71" s="497"/>
      <c r="R71" s="524"/>
      <c r="AZ71" s="497"/>
      <c r="BA71" s="497"/>
      <c r="BB71" s="497"/>
      <c r="BC71" s="497"/>
      <c r="BD71" s="497"/>
      <c r="BE71" s="497"/>
      <c r="BF71" s="497"/>
      <c r="BG71" s="497"/>
      <c r="BH71" s="497"/>
      <c r="BI71" s="497"/>
      <c r="BJ71" s="497"/>
      <c r="BK71" s="497"/>
      <c r="BL71" s="497"/>
      <c r="BM71" s="497"/>
      <c r="BN71" s="497"/>
      <c r="BO71" s="497"/>
      <c r="BP71" s="497"/>
      <c r="BQ71" s="497"/>
      <c r="BR71" s="497"/>
      <c r="BS71" s="497"/>
      <c r="BT71" s="497"/>
      <c r="BU71" s="497"/>
      <c r="BV71" s="497"/>
      <c r="BW71" s="497"/>
      <c r="BX71" s="497"/>
      <c r="BY71" s="497"/>
      <c r="BZ71" s="497"/>
      <c r="CA71" s="497"/>
      <c r="CB71" s="497"/>
      <c r="CC71" s="497"/>
      <c r="CD71" s="497"/>
      <c r="CE71" s="497"/>
      <c r="CF71" s="497"/>
      <c r="CG71" s="497"/>
      <c r="CH71" s="497"/>
      <c r="CI71" s="497"/>
      <c r="CJ71" s="497"/>
      <c r="CK71" s="497"/>
      <c r="CL71" s="497"/>
      <c r="CM71" s="497"/>
      <c r="CN71" s="497"/>
      <c r="CO71" s="497"/>
      <c r="CP71" s="497"/>
      <c r="CQ71" s="497"/>
      <c r="CR71" s="497"/>
      <c r="CS71" s="497"/>
      <c r="CT71" s="497"/>
      <c r="CU71" s="497"/>
      <c r="CV71" s="497"/>
      <c r="CW71" s="497"/>
      <c r="CX71" s="497"/>
      <c r="CY71" s="497"/>
      <c r="CZ71" s="497"/>
      <c r="DA71" s="497"/>
      <c r="DB71" s="497"/>
      <c r="DC71" s="497"/>
      <c r="DD71" s="497"/>
      <c r="DE71" s="497"/>
      <c r="DF71" s="497"/>
      <c r="DG71" s="497"/>
      <c r="DH71" s="497"/>
      <c r="DI71" s="497"/>
      <c r="DJ71" s="497"/>
      <c r="DK71" s="497"/>
      <c r="DL71" s="497"/>
      <c r="DM71" s="497"/>
      <c r="DN71" s="497"/>
      <c r="DO71" s="497"/>
      <c r="DP71" s="497"/>
      <c r="DQ71" s="497"/>
      <c r="DR71" s="497"/>
      <c r="DS71" s="497"/>
      <c r="DT71" s="497"/>
      <c r="DU71" s="497"/>
      <c r="DV71" s="497"/>
      <c r="DW71" s="497"/>
      <c r="DX71" s="497"/>
      <c r="DY71" s="497"/>
      <c r="DZ71" s="497"/>
      <c r="EA71" s="497"/>
      <c r="EB71" s="497"/>
      <c r="EC71" s="497"/>
      <c r="ED71" s="497"/>
      <c r="EE71" s="497"/>
      <c r="EF71" s="497"/>
      <c r="EG71" s="497"/>
      <c r="EH71" s="497"/>
      <c r="EI71" s="497"/>
      <c r="EJ71" s="497"/>
      <c r="EK71" s="497"/>
      <c r="EL71" s="497"/>
      <c r="EM71" s="497"/>
      <c r="EN71" s="497"/>
      <c r="EO71" s="497"/>
      <c r="EP71" s="497"/>
      <c r="EQ71" s="497"/>
      <c r="ER71" s="497"/>
      <c r="ES71" s="497"/>
      <c r="ET71" s="497"/>
      <c r="EU71" s="497"/>
      <c r="EV71" s="497"/>
      <c r="EW71" s="497"/>
      <c r="EX71" s="497"/>
      <c r="EY71" s="497"/>
      <c r="EZ71" s="497"/>
      <c r="FA71" s="497"/>
      <c r="FB71" s="497"/>
      <c r="FC71" s="497"/>
      <c r="FD71" s="497"/>
      <c r="FE71" s="497"/>
      <c r="FF71" s="497"/>
      <c r="FG71" s="497"/>
      <c r="FH71" s="497"/>
      <c r="FI71" s="497"/>
      <c r="FJ71" s="497"/>
      <c r="FK71" s="497"/>
      <c r="FL71" s="497"/>
      <c r="FM71" s="497"/>
      <c r="FN71" s="497"/>
      <c r="FO71" s="497"/>
      <c r="FP71" s="497"/>
      <c r="FQ71" s="497"/>
      <c r="FR71" s="497"/>
      <c r="FS71" s="497"/>
      <c r="FT71" s="497"/>
      <c r="FU71" s="497"/>
      <c r="FV71" s="497"/>
      <c r="FW71" s="497"/>
      <c r="FX71" s="497"/>
      <c r="FY71" s="497"/>
      <c r="FZ71" s="497"/>
      <c r="GA71" s="497"/>
      <c r="GB71" s="497"/>
      <c r="GC71" s="497"/>
      <c r="GD71" s="497"/>
      <c r="GE71" s="497"/>
      <c r="GF71" s="497"/>
      <c r="GG71" s="497"/>
      <c r="GH71" s="497"/>
      <c r="GI71" s="497"/>
      <c r="GJ71" s="497"/>
      <c r="GK71" s="497"/>
      <c r="GL71" s="497"/>
      <c r="GM71" s="497"/>
      <c r="GN71" s="497"/>
      <c r="GO71" s="497"/>
      <c r="GP71" s="497"/>
      <c r="GQ71" s="497"/>
      <c r="GR71" s="497"/>
      <c r="GS71" s="497"/>
      <c r="GT71" s="497"/>
      <c r="GU71" s="497"/>
      <c r="GV71" s="497"/>
      <c r="GW71" s="497"/>
      <c r="GX71" s="497"/>
      <c r="GY71" s="497"/>
      <c r="GZ71" s="497"/>
      <c r="HA71" s="497"/>
      <c r="HB71" s="497"/>
      <c r="HC71" s="497"/>
      <c r="HD71" s="497"/>
      <c r="HE71" s="497"/>
      <c r="HF71" s="497"/>
      <c r="HG71" s="497"/>
      <c r="HH71" s="497"/>
      <c r="HI71" s="497"/>
      <c r="HJ71" s="497"/>
      <c r="HK71" s="497"/>
      <c r="HL71" s="497"/>
      <c r="HM71" s="497"/>
      <c r="HN71" s="497"/>
      <c r="HO71" s="497"/>
      <c r="HP71" s="497"/>
      <c r="HQ71" s="497"/>
      <c r="HR71" s="497"/>
      <c r="HS71" s="497"/>
      <c r="HT71" s="497"/>
      <c r="HU71" s="497"/>
      <c r="HV71" s="497"/>
      <c r="HW71" s="497"/>
      <c r="HX71" s="497"/>
      <c r="HY71" s="497"/>
      <c r="HZ71" s="497"/>
      <c r="IA71" s="497"/>
      <c r="IB71" s="497"/>
      <c r="IC71" s="497"/>
      <c r="ID71" s="497"/>
      <c r="IE71" s="497"/>
      <c r="IF71" s="497"/>
      <c r="IG71" s="497"/>
      <c r="IH71" s="497"/>
      <c r="II71" s="497"/>
      <c r="IJ71" s="497"/>
      <c r="IK71" s="497"/>
      <c r="IL71" s="497"/>
      <c r="IM71" s="497"/>
      <c r="IN71" s="497"/>
      <c r="IO71" s="497"/>
      <c r="IP71" s="497"/>
      <c r="IQ71" s="497"/>
      <c r="IR71" s="497"/>
      <c r="IS71" s="497"/>
      <c r="IT71" s="497"/>
      <c r="IU71" s="497"/>
      <c r="IV71" s="497"/>
      <c r="IW71" s="497"/>
    </row>
    <row r="72" spans="1:257" ht="34.9" hidden="1" customHeight="1">
      <c r="A72" s="532"/>
      <c r="B72" s="532"/>
      <c r="C72" s="532"/>
      <c r="D72" s="532">
        <f>129.2/4</f>
        <v>32.299999999999997</v>
      </c>
      <c r="E72" s="532"/>
      <c r="F72" s="532"/>
      <c r="G72" s="532"/>
      <c r="H72" s="493">
        <f t="shared" si="3"/>
        <v>32.299999999999997</v>
      </c>
      <c r="I72" s="497"/>
      <c r="J72" s="533" t="s">
        <v>380</v>
      </c>
      <c r="K72" s="500">
        <v>43415</v>
      </c>
      <c r="L72" s="503" t="s">
        <v>381</v>
      </c>
      <c r="M72" s="524" t="s">
        <v>382</v>
      </c>
      <c r="O72" s="497"/>
      <c r="Q72" s="497"/>
      <c r="R72" s="524"/>
      <c r="AZ72" s="497"/>
      <c r="BA72" s="497"/>
      <c r="BB72" s="497"/>
      <c r="BC72" s="497"/>
      <c r="BD72" s="497"/>
      <c r="BE72" s="497"/>
      <c r="BF72" s="497"/>
      <c r="BG72" s="497"/>
      <c r="BH72" s="497"/>
      <c r="BI72" s="497"/>
      <c r="BJ72" s="497"/>
      <c r="BK72" s="497"/>
      <c r="BL72" s="497"/>
      <c r="BM72" s="497"/>
      <c r="BN72" s="497"/>
      <c r="BO72" s="497"/>
      <c r="BP72" s="497"/>
      <c r="BQ72" s="497"/>
      <c r="BR72" s="497"/>
      <c r="BS72" s="497"/>
      <c r="BT72" s="497"/>
      <c r="BU72" s="497"/>
      <c r="BV72" s="497"/>
      <c r="BW72" s="497"/>
      <c r="BX72" s="497"/>
      <c r="BY72" s="497"/>
      <c r="BZ72" s="497"/>
      <c r="CA72" s="497"/>
      <c r="CB72" s="497"/>
      <c r="CC72" s="497"/>
      <c r="CD72" s="497"/>
      <c r="CE72" s="497"/>
      <c r="CF72" s="497"/>
      <c r="CG72" s="497"/>
      <c r="CH72" s="497"/>
      <c r="CI72" s="497"/>
      <c r="CJ72" s="497"/>
      <c r="CK72" s="497"/>
      <c r="CL72" s="497"/>
      <c r="CM72" s="497"/>
      <c r="CN72" s="497"/>
      <c r="CO72" s="497"/>
      <c r="CP72" s="497"/>
      <c r="CQ72" s="497"/>
      <c r="CR72" s="497"/>
      <c r="CS72" s="497"/>
      <c r="CT72" s="497"/>
      <c r="CU72" s="497"/>
      <c r="CV72" s="497"/>
      <c r="CW72" s="497"/>
      <c r="CX72" s="497"/>
      <c r="CY72" s="497"/>
      <c r="CZ72" s="497"/>
      <c r="DA72" s="497"/>
      <c r="DB72" s="497"/>
      <c r="DC72" s="497"/>
      <c r="DD72" s="497"/>
      <c r="DE72" s="497"/>
      <c r="DF72" s="497"/>
      <c r="DG72" s="497"/>
      <c r="DH72" s="497"/>
      <c r="DI72" s="497"/>
      <c r="DJ72" s="497"/>
      <c r="DK72" s="497"/>
      <c r="DL72" s="497"/>
      <c r="DM72" s="497"/>
      <c r="DN72" s="497"/>
      <c r="DO72" s="497"/>
      <c r="DP72" s="497"/>
      <c r="DQ72" s="497"/>
      <c r="DR72" s="497"/>
      <c r="DS72" s="497"/>
      <c r="DT72" s="497"/>
      <c r="DU72" s="497"/>
      <c r="DV72" s="497"/>
      <c r="DW72" s="497"/>
      <c r="DX72" s="497"/>
      <c r="DY72" s="497"/>
      <c r="DZ72" s="497"/>
      <c r="EA72" s="497"/>
      <c r="EB72" s="497"/>
      <c r="EC72" s="497"/>
      <c r="ED72" s="497"/>
      <c r="EE72" s="497"/>
      <c r="EF72" s="497"/>
      <c r="EG72" s="497"/>
      <c r="EH72" s="497"/>
      <c r="EI72" s="497"/>
      <c r="EJ72" s="497"/>
      <c r="EK72" s="497"/>
      <c r="EL72" s="497"/>
      <c r="EM72" s="497"/>
      <c r="EN72" s="497"/>
      <c r="EO72" s="497"/>
      <c r="EP72" s="497"/>
      <c r="EQ72" s="497"/>
      <c r="ER72" s="497"/>
      <c r="ES72" s="497"/>
      <c r="ET72" s="497"/>
      <c r="EU72" s="497"/>
      <c r="EV72" s="497"/>
      <c r="EW72" s="497"/>
      <c r="EX72" s="497"/>
      <c r="EY72" s="497"/>
      <c r="EZ72" s="497"/>
      <c r="FA72" s="497"/>
      <c r="FB72" s="497"/>
      <c r="FC72" s="497"/>
      <c r="FD72" s="497"/>
      <c r="FE72" s="497"/>
      <c r="FF72" s="497"/>
      <c r="FG72" s="497"/>
      <c r="FH72" s="497"/>
      <c r="FI72" s="497"/>
      <c r="FJ72" s="497"/>
      <c r="FK72" s="497"/>
      <c r="FL72" s="497"/>
      <c r="FM72" s="497"/>
      <c r="FN72" s="497"/>
      <c r="FO72" s="497"/>
      <c r="FP72" s="497"/>
      <c r="FQ72" s="497"/>
      <c r="FR72" s="497"/>
      <c r="FS72" s="497"/>
      <c r="FT72" s="497"/>
      <c r="FU72" s="497"/>
      <c r="FV72" s="497"/>
      <c r="FW72" s="497"/>
      <c r="FX72" s="497"/>
      <c r="FY72" s="497"/>
      <c r="FZ72" s="497"/>
      <c r="GA72" s="497"/>
      <c r="GB72" s="497"/>
      <c r="GC72" s="497"/>
      <c r="GD72" s="497"/>
      <c r="GE72" s="497"/>
      <c r="GF72" s="497"/>
      <c r="GG72" s="497"/>
      <c r="GH72" s="497"/>
      <c r="GI72" s="497"/>
      <c r="GJ72" s="497"/>
      <c r="GK72" s="497"/>
      <c r="GL72" s="497"/>
      <c r="GM72" s="497"/>
      <c r="GN72" s="497"/>
      <c r="GO72" s="497"/>
      <c r="GP72" s="497"/>
      <c r="GQ72" s="497"/>
      <c r="GR72" s="497"/>
      <c r="GS72" s="497"/>
      <c r="GT72" s="497"/>
      <c r="GU72" s="497"/>
      <c r="GV72" s="497"/>
      <c r="GW72" s="497"/>
      <c r="GX72" s="497"/>
      <c r="GY72" s="497"/>
      <c r="GZ72" s="497"/>
      <c r="HA72" s="497"/>
      <c r="HB72" s="497"/>
      <c r="HC72" s="497"/>
      <c r="HD72" s="497"/>
      <c r="HE72" s="497"/>
      <c r="HF72" s="497"/>
      <c r="HG72" s="497"/>
      <c r="HH72" s="497"/>
      <c r="HI72" s="497"/>
      <c r="HJ72" s="497"/>
      <c r="HK72" s="497"/>
      <c r="HL72" s="497"/>
      <c r="HM72" s="497"/>
      <c r="HN72" s="497"/>
      <c r="HO72" s="497"/>
      <c r="HP72" s="497"/>
      <c r="HQ72" s="497"/>
      <c r="HR72" s="497"/>
      <c r="HS72" s="497"/>
      <c r="HT72" s="497"/>
      <c r="HU72" s="497"/>
      <c r="HV72" s="497"/>
      <c r="HW72" s="497"/>
      <c r="HX72" s="497"/>
      <c r="HY72" s="497"/>
      <c r="HZ72" s="497"/>
      <c r="IA72" s="497"/>
      <c r="IB72" s="497"/>
      <c r="IC72" s="497"/>
      <c r="ID72" s="497"/>
      <c r="IE72" s="497"/>
      <c r="IF72" s="497"/>
      <c r="IG72" s="497"/>
      <c r="IH72" s="497"/>
      <c r="II72" s="497"/>
      <c r="IJ72" s="497"/>
      <c r="IK72" s="497"/>
      <c r="IL72" s="497"/>
      <c r="IM72" s="497"/>
      <c r="IN72" s="497"/>
      <c r="IO72" s="497"/>
      <c r="IP72" s="497"/>
      <c r="IQ72" s="497"/>
      <c r="IR72" s="497"/>
      <c r="IS72" s="497"/>
      <c r="IT72" s="497"/>
      <c r="IU72" s="497"/>
      <c r="IV72" s="497"/>
      <c r="IW72" s="497"/>
    </row>
    <row r="73" spans="1:257" ht="34.9" hidden="1" customHeight="1">
      <c r="A73" s="532"/>
      <c r="B73" s="532"/>
      <c r="C73" s="532"/>
      <c r="D73" s="532"/>
      <c r="E73" s="532"/>
      <c r="F73" s="532">
        <v>204.73</v>
      </c>
      <c r="G73" s="532"/>
      <c r="H73" s="493">
        <f t="shared" si="3"/>
        <v>204.73</v>
      </c>
      <c r="I73" s="497"/>
      <c r="J73" s="533" t="s">
        <v>383</v>
      </c>
      <c r="K73" s="500">
        <v>43416</v>
      </c>
      <c r="L73" s="503" t="s">
        <v>384</v>
      </c>
      <c r="M73" s="524" t="s">
        <v>382</v>
      </c>
      <c r="O73" s="497"/>
      <c r="Q73" s="497"/>
      <c r="R73" s="524"/>
      <c r="AZ73" s="497"/>
      <c r="BA73" s="497"/>
      <c r="BB73" s="497"/>
      <c r="BC73" s="497"/>
      <c r="BD73" s="497"/>
      <c r="BE73" s="497"/>
      <c r="BF73" s="497"/>
      <c r="BG73" s="497"/>
      <c r="BH73" s="497"/>
      <c r="BI73" s="497"/>
      <c r="BJ73" s="497"/>
      <c r="BK73" s="497"/>
      <c r="BL73" s="497"/>
      <c r="BM73" s="497"/>
      <c r="BN73" s="497"/>
      <c r="BO73" s="497"/>
      <c r="BP73" s="497"/>
      <c r="BQ73" s="497"/>
      <c r="BR73" s="497"/>
      <c r="BS73" s="497"/>
      <c r="BT73" s="497"/>
      <c r="BU73" s="497"/>
      <c r="BV73" s="497"/>
      <c r="BW73" s="497"/>
      <c r="BX73" s="497"/>
      <c r="BY73" s="497"/>
      <c r="BZ73" s="497"/>
      <c r="CA73" s="497"/>
      <c r="CB73" s="497"/>
      <c r="CC73" s="497"/>
      <c r="CD73" s="497"/>
      <c r="CE73" s="497"/>
      <c r="CF73" s="497"/>
      <c r="CG73" s="497"/>
      <c r="CH73" s="497"/>
      <c r="CI73" s="497"/>
      <c r="CJ73" s="497"/>
      <c r="CK73" s="497"/>
      <c r="CL73" s="497"/>
      <c r="CM73" s="497"/>
      <c r="CN73" s="497"/>
      <c r="CO73" s="497"/>
      <c r="CP73" s="497"/>
      <c r="CQ73" s="497"/>
      <c r="CR73" s="497"/>
      <c r="CS73" s="497"/>
      <c r="CT73" s="497"/>
      <c r="CU73" s="497"/>
      <c r="CV73" s="497"/>
      <c r="CW73" s="497"/>
      <c r="CX73" s="497"/>
      <c r="CY73" s="497"/>
      <c r="CZ73" s="497"/>
      <c r="DA73" s="497"/>
      <c r="DB73" s="497"/>
      <c r="DC73" s="497"/>
      <c r="DD73" s="497"/>
      <c r="DE73" s="497"/>
      <c r="DF73" s="497"/>
      <c r="DG73" s="497"/>
      <c r="DH73" s="497"/>
      <c r="DI73" s="497"/>
      <c r="DJ73" s="497"/>
      <c r="DK73" s="497"/>
      <c r="DL73" s="497"/>
      <c r="DM73" s="497"/>
      <c r="DN73" s="497"/>
      <c r="DO73" s="497"/>
      <c r="DP73" s="497"/>
      <c r="DQ73" s="497"/>
      <c r="DR73" s="497"/>
      <c r="DS73" s="497"/>
      <c r="DT73" s="497"/>
      <c r="DU73" s="497"/>
      <c r="DV73" s="497"/>
      <c r="DW73" s="497"/>
      <c r="DX73" s="497"/>
      <c r="DY73" s="497"/>
      <c r="DZ73" s="497"/>
      <c r="EA73" s="497"/>
      <c r="EB73" s="497"/>
      <c r="EC73" s="497"/>
      <c r="ED73" s="497"/>
      <c r="EE73" s="497"/>
      <c r="EF73" s="497"/>
      <c r="EG73" s="497"/>
      <c r="EH73" s="497"/>
      <c r="EI73" s="497"/>
      <c r="EJ73" s="497"/>
      <c r="EK73" s="497"/>
      <c r="EL73" s="497"/>
      <c r="EM73" s="497"/>
      <c r="EN73" s="497"/>
      <c r="EO73" s="497"/>
      <c r="EP73" s="497"/>
      <c r="EQ73" s="497"/>
      <c r="ER73" s="497"/>
      <c r="ES73" s="497"/>
      <c r="ET73" s="497"/>
      <c r="EU73" s="497"/>
      <c r="EV73" s="497"/>
      <c r="EW73" s="497"/>
      <c r="EX73" s="497"/>
      <c r="EY73" s="497"/>
      <c r="EZ73" s="497"/>
      <c r="FA73" s="497"/>
      <c r="FB73" s="497"/>
      <c r="FC73" s="497"/>
      <c r="FD73" s="497"/>
      <c r="FE73" s="497"/>
      <c r="FF73" s="497"/>
      <c r="FG73" s="497"/>
      <c r="FH73" s="497"/>
      <c r="FI73" s="497"/>
      <c r="FJ73" s="497"/>
      <c r="FK73" s="497"/>
      <c r="FL73" s="497"/>
      <c r="FM73" s="497"/>
      <c r="FN73" s="497"/>
      <c r="FO73" s="497"/>
      <c r="FP73" s="497"/>
      <c r="FQ73" s="497"/>
      <c r="FR73" s="497"/>
      <c r="FS73" s="497"/>
      <c r="FT73" s="497"/>
      <c r="FU73" s="497"/>
      <c r="FV73" s="497"/>
      <c r="FW73" s="497"/>
      <c r="FX73" s="497"/>
      <c r="FY73" s="497"/>
      <c r="FZ73" s="497"/>
      <c r="GA73" s="497"/>
      <c r="GB73" s="497"/>
      <c r="GC73" s="497"/>
      <c r="GD73" s="497"/>
      <c r="GE73" s="497"/>
      <c r="GF73" s="497"/>
      <c r="GG73" s="497"/>
      <c r="GH73" s="497"/>
      <c r="GI73" s="497"/>
      <c r="GJ73" s="497"/>
      <c r="GK73" s="497"/>
      <c r="GL73" s="497"/>
      <c r="GM73" s="497"/>
      <c r="GN73" s="497"/>
      <c r="GO73" s="497"/>
      <c r="GP73" s="497"/>
      <c r="GQ73" s="497"/>
      <c r="GR73" s="497"/>
      <c r="GS73" s="497"/>
      <c r="GT73" s="497"/>
      <c r="GU73" s="497"/>
      <c r="GV73" s="497"/>
      <c r="GW73" s="497"/>
      <c r="GX73" s="497"/>
      <c r="GY73" s="497"/>
      <c r="GZ73" s="497"/>
      <c r="HA73" s="497"/>
      <c r="HB73" s="497"/>
      <c r="HC73" s="497"/>
      <c r="HD73" s="497"/>
      <c r="HE73" s="497"/>
      <c r="HF73" s="497"/>
      <c r="HG73" s="497"/>
      <c r="HH73" s="497"/>
      <c r="HI73" s="497"/>
      <c r="HJ73" s="497"/>
      <c r="HK73" s="497"/>
      <c r="HL73" s="497"/>
      <c r="HM73" s="497"/>
      <c r="HN73" s="497"/>
      <c r="HO73" s="497"/>
      <c r="HP73" s="497"/>
      <c r="HQ73" s="497"/>
      <c r="HR73" s="497"/>
      <c r="HS73" s="497"/>
      <c r="HT73" s="497"/>
      <c r="HU73" s="497"/>
      <c r="HV73" s="497"/>
      <c r="HW73" s="497"/>
      <c r="HX73" s="497"/>
      <c r="HY73" s="497"/>
      <c r="HZ73" s="497"/>
      <c r="IA73" s="497"/>
      <c r="IB73" s="497"/>
      <c r="IC73" s="497"/>
      <c r="ID73" s="497"/>
      <c r="IE73" s="497"/>
      <c r="IF73" s="497"/>
      <c r="IG73" s="497"/>
      <c r="IH73" s="497"/>
      <c r="II73" s="497"/>
      <c r="IJ73" s="497"/>
      <c r="IK73" s="497"/>
      <c r="IL73" s="497"/>
      <c r="IM73" s="497"/>
      <c r="IN73" s="497"/>
      <c r="IO73" s="497"/>
      <c r="IP73" s="497"/>
      <c r="IQ73" s="497"/>
      <c r="IR73" s="497"/>
      <c r="IS73" s="497"/>
      <c r="IT73" s="497"/>
      <c r="IU73" s="497"/>
      <c r="IV73" s="497"/>
      <c r="IW73" s="497"/>
    </row>
    <row r="74" spans="1:257" s="497" customFormat="1" ht="69.400000000000006" hidden="1" customHeight="1">
      <c r="A74" s="532"/>
      <c r="B74" s="532"/>
      <c r="C74" s="532"/>
      <c r="D74" s="532"/>
      <c r="E74" s="532"/>
      <c r="F74" s="497">
        <v>91.33</v>
      </c>
      <c r="G74" s="532"/>
      <c r="H74" s="493">
        <f t="shared" si="3"/>
        <v>91.33</v>
      </c>
      <c r="J74" s="533" t="s">
        <v>385</v>
      </c>
      <c r="K74" s="500">
        <v>43415</v>
      </c>
      <c r="L74" s="503" t="s">
        <v>386</v>
      </c>
      <c r="M74" s="524" t="s">
        <v>382</v>
      </c>
      <c r="R74" s="524"/>
    </row>
    <row r="75" spans="1:257" ht="34.9" hidden="1" customHeight="1">
      <c r="A75" s="532"/>
      <c r="B75" s="532"/>
      <c r="C75" s="532"/>
      <c r="D75" s="532">
        <f>137.88/2</f>
        <v>68.94</v>
      </c>
      <c r="E75" s="532"/>
      <c r="F75" s="497"/>
      <c r="G75" s="532"/>
      <c r="H75" s="493">
        <f t="shared" si="3"/>
        <v>68.94</v>
      </c>
      <c r="I75" s="497"/>
      <c r="J75" s="533" t="s">
        <v>387</v>
      </c>
      <c r="K75" s="500">
        <v>43440</v>
      </c>
      <c r="L75" s="503" t="s">
        <v>388</v>
      </c>
      <c r="M75" s="524" t="s">
        <v>382</v>
      </c>
      <c r="O75" s="497"/>
      <c r="Q75" s="497"/>
      <c r="R75" s="524"/>
      <c r="AZ75" s="497"/>
      <c r="BA75" s="497"/>
      <c r="BB75" s="497"/>
      <c r="BC75" s="497"/>
      <c r="BD75" s="497"/>
      <c r="BE75" s="497"/>
      <c r="BF75" s="497"/>
      <c r="BG75" s="497"/>
      <c r="BH75" s="497"/>
      <c r="BI75" s="497"/>
      <c r="BJ75" s="497"/>
      <c r="BK75" s="497"/>
      <c r="BL75" s="497"/>
      <c r="BM75" s="497"/>
      <c r="BN75" s="497"/>
      <c r="BO75" s="497"/>
      <c r="BP75" s="497"/>
      <c r="BQ75" s="497"/>
      <c r="BR75" s="497"/>
      <c r="BS75" s="497"/>
      <c r="BT75" s="497"/>
      <c r="BU75" s="497"/>
      <c r="BV75" s="497"/>
      <c r="BW75" s="497"/>
      <c r="BX75" s="497"/>
      <c r="BY75" s="497"/>
      <c r="BZ75" s="497"/>
      <c r="CA75" s="497"/>
      <c r="CB75" s="497"/>
      <c r="CC75" s="497"/>
      <c r="CD75" s="497"/>
      <c r="CE75" s="497"/>
      <c r="CF75" s="497"/>
      <c r="CG75" s="497"/>
      <c r="CH75" s="497"/>
      <c r="CI75" s="497"/>
      <c r="CJ75" s="497"/>
      <c r="CK75" s="497"/>
      <c r="CL75" s="497"/>
      <c r="CM75" s="497"/>
      <c r="CN75" s="497"/>
      <c r="CO75" s="497"/>
      <c r="CP75" s="497"/>
      <c r="CQ75" s="497"/>
      <c r="CR75" s="497"/>
      <c r="CS75" s="497"/>
      <c r="CT75" s="497"/>
      <c r="CU75" s="497"/>
      <c r="CV75" s="497"/>
      <c r="CW75" s="497"/>
      <c r="CX75" s="497"/>
      <c r="CY75" s="497"/>
      <c r="CZ75" s="497"/>
      <c r="DA75" s="497"/>
      <c r="DB75" s="497"/>
      <c r="DC75" s="497"/>
      <c r="DD75" s="497"/>
      <c r="DE75" s="497"/>
      <c r="DF75" s="497"/>
      <c r="DG75" s="497"/>
      <c r="DH75" s="497"/>
      <c r="DI75" s="497"/>
      <c r="DJ75" s="497"/>
      <c r="DK75" s="497"/>
      <c r="DL75" s="497"/>
      <c r="DM75" s="497"/>
      <c r="DN75" s="497"/>
      <c r="DO75" s="497"/>
      <c r="DP75" s="497"/>
      <c r="DQ75" s="497"/>
      <c r="DR75" s="497"/>
      <c r="DS75" s="497"/>
      <c r="DT75" s="497"/>
      <c r="DU75" s="497"/>
      <c r="DV75" s="497"/>
      <c r="DW75" s="497"/>
      <c r="DX75" s="497"/>
      <c r="DY75" s="497"/>
      <c r="DZ75" s="497"/>
      <c r="EA75" s="497"/>
      <c r="EB75" s="497"/>
      <c r="EC75" s="497"/>
      <c r="ED75" s="497"/>
      <c r="EE75" s="497"/>
      <c r="EF75" s="497"/>
      <c r="EG75" s="497"/>
      <c r="EH75" s="497"/>
      <c r="EI75" s="497"/>
      <c r="EJ75" s="497"/>
      <c r="EK75" s="497"/>
      <c r="EL75" s="497"/>
      <c r="EM75" s="497"/>
      <c r="EN75" s="497"/>
      <c r="EO75" s="497"/>
      <c r="EP75" s="497"/>
      <c r="EQ75" s="497"/>
      <c r="ER75" s="497"/>
      <c r="ES75" s="497"/>
      <c r="ET75" s="497"/>
      <c r="EU75" s="497"/>
      <c r="EV75" s="497"/>
      <c r="EW75" s="497"/>
      <c r="EX75" s="497"/>
      <c r="EY75" s="497"/>
      <c r="EZ75" s="497"/>
      <c r="FA75" s="497"/>
      <c r="FB75" s="497"/>
      <c r="FC75" s="497"/>
      <c r="FD75" s="497"/>
      <c r="FE75" s="497"/>
      <c r="FF75" s="497"/>
      <c r="FG75" s="497"/>
      <c r="FH75" s="497"/>
      <c r="FI75" s="497"/>
      <c r="FJ75" s="497"/>
      <c r="FK75" s="497"/>
      <c r="FL75" s="497"/>
      <c r="FM75" s="497"/>
      <c r="FN75" s="497"/>
      <c r="FO75" s="497"/>
      <c r="FP75" s="497"/>
      <c r="FQ75" s="497"/>
      <c r="FR75" s="497"/>
      <c r="FS75" s="497"/>
      <c r="FT75" s="497"/>
      <c r="FU75" s="497"/>
      <c r="FV75" s="497"/>
      <c r="FW75" s="497"/>
      <c r="FX75" s="497"/>
      <c r="FY75" s="497"/>
      <c r="FZ75" s="497"/>
      <c r="GA75" s="497"/>
      <c r="GB75" s="497"/>
      <c r="GC75" s="497"/>
      <c r="GD75" s="497"/>
      <c r="GE75" s="497"/>
      <c r="GF75" s="497"/>
      <c r="GG75" s="497"/>
      <c r="GH75" s="497"/>
      <c r="GI75" s="497"/>
      <c r="GJ75" s="497"/>
      <c r="GK75" s="497"/>
      <c r="GL75" s="497"/>
      <c r="GM75" s="497"/>
      <c r="GN75" s="497"/>
      <c r="GO75" s="497"/>
      <c r="GP75" s="497"/>
      <c r="GQ75" s="497"/>
      <c r="GR75" s="497"/>
      <c r="GS75" s="497"/>
      <c r="GT75" s="497"/>
      <c r="GU75" s="497"/>
      <c r="GV75" s="497"/>
      <c r="GW75" s="497"/>
      <c r="GX75" s="497"/>
      <c r="GY75" s="497"/>
      <c r="GZ75" s="497"/>
      <c r="HA75" s="497"/>
      <c r="HB75" s="497"/>
      <c r="HC75" s="497"/>
      <c r="HD75" s="497"/>
      <c r="HE75" s="497"/>
      <c r="HF75" s="497"/>
      <c r="HG75" s="497"/>
      <c r="HH75" s="497"/>
      <c r="HI75" s="497"/>
      <c r="HJ75" s="497"/>
      <c r="HK75" s="497"/>
      <c r="HL75" s="497"/>
      <c r="HM75" s="497"/>
      <c r="HN75" s="497"/>
      <c r="HO75" s="497"/>
      <c r="HP75" s="497"/>
      <c r="HQ75" s="497"/>
      <c r="HR75" s="497"/>
      <c r="HS75" s="497"/>
      <c r="HT75" s="497"/>
      <c r="HU75" s="497"/>
      <c r="HV75" s="497"/>
      <c r="HW75" s="497"/>
      <c r="HX75" s="497"/>
      <c r="HY75" s="497"/>
      <c r="HZ75" s="497"/>
      <c r="IA75" s="497"/>
      <c r="IB75" s="497"/>
      <c r="IC75" s="497"/>
      <c r="ID75" s="497"/>
      <c r="IE75" s="497"/>
      <c r="IF75" s="497"/>
      <c r="IG75" s="497"/>
      <c r="IH75" s="497"/>
      <c r="II75" s="497"/>
      <c r="IJ75" s="497"/>
      <c r="IK75" s="497"/>
      <c r="IL75" s="497"/>
      <c r="IM75" s="497"/>
      <c r="IN75" s="497"/>
      <c r="IO75" s="497"/>
      <c r="IP75" s="497"/>
      <c r="IQ75" s="497"/>
      <c r="IR75" s="497"/>
      <c r="IS75" s="497"/>
      <c r="IT75" s="497"/>
      <c r="IU75" s="497"/>
      <c r="IV75" s="497"/>
      <c r="IW75" s="497"/>
    </row>
    <row r="76" spans="1:257" ht="34.9" hidden="1" customHeight="1">
      <c r="A76" s="532"/>
      <c r="B76" s="532"/>
      <c r="C76" s="532"/>
      <c r="D76" s="532">
        <f>53.13/2</f>
        <v>26.565000000000001</v>
      </c>
      <c r="E76" s="532"/>
      <c r="F76" s="497"/>
      <c r="G76" s="532"/>
      <c r="H76" s="493">
        <f t="shared" si="3"/>
        <v>26.565000000000001</v>
      </c>
      <c r="I76" s="497"/>
      <c r="J76" s="533" t="s">
        <v>387</v>
      </c>
      <c r="K76" s="500">
        <v>43440</v>
      </c>
      <c r="L76" s="503" t="s">
        <v>389</v>
      </c>
      <c r="M76" s="524" t="s">
        <v>382</v>
      </c>
      <c r="O76" s="497"/>
      <c r="Q76" s="497"/>
      <c r="R76" s="524"/>
      <c r="AZ76" s="497"/>
      <c r="BA76" s="497"/>
      <c r="BB76" s="497"/>
      <c r="BC76" s="497"/>
      <c r="BD76" s="497"/>
      <c r="BE76" s="497"/>
      <c r="BF76" s="497"/>
      <c r="BG76" s="497"/>
      <c r="BH76" s="497"/>
      <c r="BI76" s="497"/>
      <c r="BJ76" s="497"/>
      <c r="BK76" s="497"/>
      <c r="BL76" s="497"/>
      <c r="BM76" s="497"/>
      <c r="BN76" s="497"/>
      <c r="BO76" s="497"/>
      <c r="BP76" s="497"/>
      <c r="BQ76" s="497"/>
      <c r="BR76" s="497"/>
      <c r="BS76" s="497"/>
      <c r="BT76" s="497"/>
      <c r="BU76" s="497"/>
      <c r="BV76" s="497"/>
      <c r="BW76" s="497"/>
      <c r="BX76" s="497"/>
      <c r="BY76" s="497"/>
      <c r="BZ76" s="497"/>
      <c r="CA76" s="497"/>
      <c r="CB76" s="497"/>
      <c r="CC76" s="497"/>
      <c r="CD76" s="497"/>
      <c r="CE76" s="497"/>
      <c r="CF76" s="497"/>
      <c r="CG76" s="497"/>
      <c r="CH76" s="497"/>
      <c r="CI76" s="497"/>
      <c r="CJ76" s="497"/>
      <c r="CK76" s="497"/>
      <c r="CL76" s="497"/>
      <c r="CM76" s="497"/>
      <c r="CN76" s="497"/>
      <c r="CO76" s="497"/>
      <c r="CP76" s="497"/>
      <c r="CQ76" s="497"/>
      <c r="CR76" s="497"/>
      <c r="CS76" s="497"/>
      <c r="CT76" s="497"/>
      <c r="CU76" s="497"/>
      <c r="CV76" s="497"/>
      <c r="CW76" s="497"/>
      <c r="CX76" s="497"/>
      <c r="CY76" s="497"/>
      <c r="CZ76" s="497"/>
      <c r="DA76" s="497"/>
      <c r="DB76" s="497"/>
      <c r="DC76" s="497"/>
      <c r="DD76" s="497"/>
      <c r="DE76" s="497"/>
      <c r="DF76" s="497"/>
      <c r="DG76" s="497"/>
      <c r="DH76" s="497"/>
      <c r="DI76" s="497"/>
      <c r="DJ76" s="497"/>
      <c r="DK76" s="497"/>
      <c r="DL76" s="497"/>
      <c r="DM76" s="497"/>
      <c r="DN76" s="497"/>
      <c r="DO76" s="497"/>
      <c r="DP76" s="497"/>
      <c r="DQ76" s="497"/>
      <c r="DR76" s="497"/>
      <c r="DS76" s="497"/>
      <c r="DT76" s="497"/>
      <c r="DU76" s="497"/>
      <c r="DV76" s="497"/>
      <c r="DW76" s="497"/>
      <c r="DX76" s="497"/>
      <c r="DY76" s="497"/>
      <c r="DZ76" s="497"/>
      <c r="EA76" s="497"/>
      <c r="EB76" s="497"/>
      <c r="EC76" s="497"/>
      <c r="ED76" s="497"/>
      <c r="EE76" s="497"/>
      <c r="EF76" s="497"/>
      <c r="EG76" s="497"/>
      <c r="EH76" s="497"/>
      <c r="EI76" s="497"/>
      <c r="EJ76" s="497"/>
      <c r="EK76" s="497"/>
      <c r="EL76" s="497"/>
      <c r="EM76" s="497"/>
      <c r="EN76" s="497"/>
      <c r="EO76" s="497"/>
      <c r="EP76" s="497"/>
      <c r="EQ76" s="497"/>
      <c r="ER76" s="497"/>
      <c r="ES76" s="497"/>
      <c r="ET76" s="497"/>
      <c r="EU76" s="497"/>
      <c r="EV76" s="497"/>
      <c r="EW76" s="497"/>
      <c r="EX76" s="497"/>
      <c r="EY76" s="497"/>
      <c r="EZ76" s="497"/>
      <c r="FA76" s="497"/>
      <c r="FB76" s="497"/>
      <c r="FC76" s="497"/>
      <c r="FD76" s="497"/>
      <c r="FE76" s="497"/>
      <c r="FF76" s="497"/>
      <c r="FG76" s="497"/>
      <c r="FH76" s="497"/>
      <c r="FI76" s="497"/>
      <c r="FJ76" s="497"/>
      <c r="FK76" s="497"/>
      <c r="FL76" s="497"/>
      <c r="FM76" s="497"/>
      <c r="FN76" s="497"/>
      <c r="FO76" s="497"/>
      <c r="FP76" s="497"/>
      <c r="FQ76" s="497"/>
      <c r="FR76" s="497"/>
      <c r="FS76" s="497"/>
      <c r="FT76" s="497"/>
      <c r="FU76" s="497"/>
      <c r="FV76" s="497"/>
      <c r="FW76" s="497"/>
      <c r="FX76" s="497"/>
      <c r="FY76" s="497"/>
      <c r="FZ76" s="497"/>
      <c r="GA76" s="497"/>
      <c r="GB76" s="497"/>
      <c r="GC76" s="497"/>
      <c r="GD76" s="497"/>
      <c r="GE76" s="497"/>
      <c r="GF76" s="497"/>
      <c r="GG76" s="497"/>
      <c r="GH76" s="497"/>
      <c r="GI76" s="497"/>
      <c r="GJ76" s="497"/>
      <c r="GK76" s="497"/>
      <c r="GL76" s="497"/>
      <c r="GM76" s="497"/>
      <c r="GN76" s="497"/>
      <c r="GO76" s="497"/>
      <c r="GP76" s="497"/>
      <c r="GQ76" s="497"/>
      <c r="GR76" s="497"/>
      <c r="GS76" s="497"/>
      <c r="GT76" s="497"/>
      <c r="GU76" s="497"/>
      <c r="GV76" s="497"/>
      <c r="GW76" s="497"/>
      <c r="GX76" s="497"/>
      <c r="GY76" s="497"/>
      <c r="GZ76" s="497"/>
      <c r="HA76" s="497"/>
      <c r="HB76" s="497"/>
      <c r="HC76" s="497"/>
      <c r="HD76" s="497"/>
      <c r="HE76" s="497"/>
      <c r="HF76" s="497"/>
      <c r="HG76" s="497"/>
      <c r="HH76" s="497"/>
      <c r="HI76" s="497"/>
      <c r="HJ76" s="497"/>
      <c r="HK76" s="497"/>
      <c r="HL76" s="497"/>
      <c r="HM76" s="497"/>
      <c r="HN76" s="497"/>
      <c r="HO76" s="497"/>
      <c r="HP76" s="497"/>
      <c r="HQ76" s="497"/>
      <c r="HR76" s="497"/>
      <c r="HS76" s="497"/>
      <c r="HT76" s="497"/>
      <c r="HU76" s="497"/>
      <c r="HV76" s="497"/>
      <c r="HW76" s="497"/>
      <c r="HX76" s="497"/>
      <c r="HY76" s="497"/>
      <c r="HZ76" s="497"/>
      <c r="IA76" s="497"/>
      <c r="IB76" s="497"/>
      <c r="IC76" s="497"/>
      <c r="ID76" s="497"/>
      <c r="IE76" s="497"/>
      <c r="IF76" s="497"/>
      <c r="IG76" s="497"/>
      <c r="IH76" s="497"/>
      <c r="II76" s="497"/>
      <c r="IJ76" s="497"/>
      <c r="IK76" s="497"/>
      <c r="IL76" s="497"/>
      <c r="IM76" s="497"/>
      <c r="IN76" s="497"/>
      <c r="IO76" s="497"/>
      <c r="IP76" s="497"/>
      <c r="IQ76" s="497"/>
      <c r="IR76" s="497"/>
      <c r="IS76" s="497"/>
      <c r="IT76" s="497"/>
      <c r="IU76" s="497"/>
      <c r="IV76" s="497"/>
      <c r="IW76" s="497"/>
    </row>
    <row r="77" spans="1:257" ht="17.649999999999999" hidden="1" customHeight="1">
      <c r="A77" s="532"/>
      <c r="B77" s="532"/>
      <c r="C77" s="532"/>
      <c r="D77" s="532"/>
      <c r="E77" s="532"/>
      <c r="F77" s="532"/>
      <c r="G77" s="532"/>
      <c r="H77" s="493">
        <f t="shared" si="3"/>
        <v>0</v>
      </c>
      <c r="I77" s="497"/>
      <c r="J77" s="533"/>
      <c r="K77" s="500"/>
      <c r="L77" s="503"/>
      <c r="M77" s="524"/>
      <c r="O77" s="497"/>
      <c r="Q77" s="497"/>
      <c r="R77" s="524"/>
      <c r="AZ77" s="497"/>
      <c r="BA77" s="497"/>
      <c r="BB77" s="497"/>
      <c r="BC77" s="497"/>
      <c r="BD77" s="497"/>
      <c r="BE77" s="497"/>
      <c r="BF77" s="497"/>
      <c r="BG77" s="497"/>
      <c r="BH77" s="497"/>
      <c r="BI77" s="497"/>
      <c r="BJ77" s="497"/>
      <c r="BK77" s="497"/>
      <c r="BL77" s="497"/>
      <c r="BM77" s="497"/>
      <c r="BN77" s="497"/>
      <c r="BO77" s="497"/>
      <c r="BP77" s="497"/>
      <c r="BQ77" s="497"/>
      <c r="BR77" s="497"/>
      <c r="BS77" s="497"/>
      <c r="BT77" s="497"/>
      <c r="BU77" s="497"/>
      <c r="BV77" s="497"/>
      <c r="BW77" s="497"/>
      <c r="BX77" s="497"/>
      <c r="BY77" s="497"/>
      <c r="BZ77" s="497"/>
      <c r="CA77" s="497"/>
      <c r="CB77" s="497"/>
      <c r="CC77" s="497"/>
      <c r="CD77" s="497"/>
      <c r="CE77" s="497"/>
      <c r="CF77" s="497"/>
      <c r="CG77" s="497"/>
      <c r="CH77" s="497"/>
      <c r="CI77" s="497"/>
      <c r="CJ77" s="497"/>
      <c r="CK77" s="497"/>
      <c r="CL77" s="497"/>
      <c r="CM77" s="497"/>
      <c r="CN77" s="497"/>
      <c r="CO77" s="497"/>
      <c r="CP77" s="497"/>
      <c r="CQ77" s="497"/>
      <c r="CR77" s="497"/>
      <c r="CS77" s="497"/>
      <c r="CT77" s="497"/>
      <c r="CU77" s="497"/>
      <c r="CV77" s="497"/>
      <c r="CW77" s="497"/>
      <c r="CX77" s="497"/>
      <c r="CY77" s="497"/>
      <c r="CZ77" s="497"/>
      <c r="DA77" s="497"/>
      <c r="DB77" s="497"/>
      <c r="DC77" s="497"/>
      <c r="DD77" s="497"/>
      <c r="DE77" s="497"/>
      <c r="DF77" s="497"/>
      <c r="DG77" s="497"/>
      <c r="DH77" s="497"/>
      <c r="DI77" s="497"/>
      <c r="DJ77" s="497"/>
      <c r="DK77" s="497"/>
      <c r="DL77" s="497"/>
      <c r="DM77" s="497"/>
      <c r="DN77" s="497"/>
      <c r="DO77" s="497"/>
      <c r="DP77" s="497"/>
      <c r="DQ77" s="497"/>
      <c r="DR77" s="497"/>
      <c r="DS77" s="497"/>
      <c r="DT77" s="497"/>
      <c r="DU77" s="497"/>
      <c r="DV77" s="497"/>
      <c r="DW77" s="497"/>
      <c r="DX77" s="497"/>
      <c r="DY77" s="497"/>
      <c r="DZ77" s="497"/>
      <c r="EA77" s="497"/>
      <c r="EB77" s="497"/>
      <c r="EC77" s="497"/>
      <c r="ED77" s="497"/>
      <c r="EE77" s="497"/>
      <c r="EF77" s="497"/>
      <c r="EG77" s="497"/>
      <c r="EH77" s="497"/>
      <c r="EI77" s="497"/>
      <c r="EJ77" s="497"/>
      <c r="EK77" s="497"/>
      <c r="EL77" s="497"/>
      <c r="EM77" s="497"/>
      <c r="EN77" s="497"/>
      <c r="EO77" s="497"/>
      <c r="EP77" s="497"/>
      <c r="EQ77" s="497"/>
      <c r="ER77" s="497"/>
      <c r="ES77" s="497"/>
      <c r="ET77" s="497"/>
      <c r="EU77" s="497"/>
      <c r="EV77" s="497"/>
      <c r="EW77" s="497"/>
      <c r="EX77" s="497"/>
      <c r="EY77" s="497"/>
      <c r="EZ77" s="497"/>
      <c r="FA77" s="497"/>
      <c r="FB77" s="497"/>
      <c r="FC77" s="497"/>
      <c r="FD77" s="497"/>
      <c r="FE77" s="497"/>
      <c r="FF77" s="497"/>
      <c r="FG77" s="497"/>
      <c r="FH77" s="497"/>
      <c r="FI77" s="497"/>
      <c r="FJ77" s="497"/>
      <c r="FK77" s="497"/>
      <c r="FL77" s="497"/>
      <c r="FM77" s="497"/>
      <c r="FN77" s="497"/>
      <c r="FO77" s="497"/>
      <c r="FP77" s="497"/>
      <c r="FQ77" s="497"/>
      <c r="FR77" s="497"/>
      <c r="FS77" s="497"/>
      <c r="FT77" s="497"/>
      <c r="FU77" s="497"/>
      <c r="FV77" s="497"/>
      <c r="FW77" s="497"/>
      <c r="FX77" s="497"/>
      <c r="FY77" s="497"/>
      <c r="FZ77" s="497"/>
      <c r="GA77" s="497"/>
      <c r="GB77" s="497"/>
      <c r="GC77" s="497"/>
      <c r="GD77" s="497"/>
      <c r="GE77" s="497"/>
      <c r="GF77" s="497"/>
      <c r="GG77" s="497"/>
      <c r="GH77" s="497"/>
      <c r="GI77" s="497"/>
      <c r="GJ77" s="497"/>
      <c r="GK77" s="497"/>
      <c r="GL77" s="497"/>
      <c r="GM77" s="497"/>
      <c r="GN77" s="497"/>
      <c r="GO77" s="497"/>
      <c r="GP77" s="497"/>
      <c r="GQ77" s="497"/>
      <c r="GR77" s="497"/>
      <c r="GS77" s="497"/>
      <c r="GT77" s="497"/>
      <c r="GU77" s="497"/>
      <c r="GV77" s="497"/>
      <c r="GW77" s="497"/>
      <c r="GX77" s="497"/>
      <c r="GY77" s="497"/>
      <c r="GZ77" s="497"/>
      <c r="HA77" s="497"/>
      <c r="HB77" s="497"/>
      <c r="HC77" s="497"/>
      <c r="HD77" s="497"/>
      <c r="HE77" s="497"/>
      <c r="HF77" s="497"/>
      <c r="HG77" s="497"/>
      <c r="HH77" s="497"/>
      <c r="HI77" s="497"/>
      <c r="HJ77" s="497"/>
      <c r="HK77" s="497"/>
      <c r="HL77" s="497"/>
      <c r="HM77" s="497"/>
      <c r="HN77" s="497"/>
      <c r="HO77" s="497"/>
      <c r="HP77" s="497"/>
      <c r="HQ77" s="497"/>
      <c r="HR77" s="497"/>
      <c r="HS77" s="497"/>
      <c r="HT77" s="497"/>
      <c r="HU77" s="497"/>
      <c r="HV77" s="497"/>
      <c r="HW77" s="497"/>
      <c r="HX77" s="497"/>
      <c r="HY77" s="497"/>
      <c r="HZ77" s="497"/>
      <c r="IA77" s="497"/>
      <c r="IB77" s="497"/>
      <c r="IC77" s="497"/>
      <c r="ID77" s="497"/>
      <c r="IE77" s="497"/>
      <c r="IF77" s="497"/>
      <c r="IG77" s="497"/>
      <c r="IH77" s="497"/>
      <c r="II77" s="497"/>
      <c r="IJ77" s="497"/>
      <c r="IK77" s="497"/>
      <c r="IL77" s="497"/>
      <c r="IM77" s="497"/>
      <c r="IN77" s="497"/>
      <c r="IO77" s="497"/>
      <c r="IP77" s="497"/>
      <c r="IQ77" s="497"/>
      <c r="IR77" s="497"/>
      <c r="IS77" s="497"/>
      <c r="IT77" s="497"/>
      <c r="IU77" s="497"/>
      <c r="IV77" s="497"/>
      <c r="IW77" s="497"/>
    </row>
    <row r="78" spans="1:257" ht="18" hidden="1" customHeight="1" thickBot="1">
      <c r="A78" s="535">
        <f>SUM(A68:A77)</f>
        <v>0</v>
      </c>
      <c r="B78" s="535">
        <f>SUM(B68:B77)</f>
        <v>0</v>
      </c>
      <c r="C78" s="535">
        <f>SUM(C68:C77)</f>
        <v>86.9</v>
      </c>
      <c r="D78" s="535">
        <f>SUM(D68:D77)</f>
        <v>521.1450000000001</v>
      </c>
      <c r="E78" s="535"/>
      <c r="F78" s="535">
        <f>SUM(F68:F77)</f>
        <v>296.06</v>
      </c>
      <c r="G78" s="535"/>
      <c r="H78" s="535">
        <f>SUM(H68:H77)</f>
        <v>904.10500000000002</v>
      </c>
      <c r="I78" s="530"/>
      <c r="J78" s="499"/>
      <c r="K78" s="500"/>
      <c r="L78" s="497"/>
      <c r="M78" s="497"/>
      <c r="O78" s="497"/>
      <c r="Q78" s="497"/>
      <c r="AZ78" s="497"/>
      <c r="BA78" s="497"/>
      <c r="BB78" s="497"/>
      <c r="BC78" s="497"/>
      <c r="BD78" s="497"/>
      <c r="BE78" s="497"/>
      <c r="BF78" s="497"/>
      <c r="BG78" s="497"/>
      <c r="BH78" s="497"/>
      <c r="BI78" s="497"/>
      <c r="BJ78" s="497"/>
      <c r="BK78" s="497"/>
      <c r="BL78" s="497"/>
      <c r="BM78" s="497"/>
      <c r="BN78" s="497"/>
      <c r="BO78" s="497"/>
      <c r="BP78" s="497"/>
      <c r="BQ78" s="497"/>
      <c r="BR78" s="497"/>
      <c r="BS78" s="497"/>
      <c r="BT78" s="497"/>
      <c r="BU78" s="497"/>
      <c r="BV78" s="497"/>
      <c r="BW78" s="497"/>
      <c r="BX78" s="497"/>
      <c r="BY78" s="497"/>
      <c r="BZ78" s="497"/>
      <c r="CA78" s="497"/>
      <c r="CB78" s="497"/>
      <c r="CC78" s="497"/>
      <c r="CD78" s="497"/>
      <c r="CE78" s="497"/>
      <c r="CF78" s="497"/>
      <c r="CG78" s="497"/>
      <c r="CH78" s="497"/>
      <c r="CI78" s="497"/>
      <c r="CJ78" s="497"/>
      <c r="CK78" s="497"/>
      <c r="CL78" s="497"/>
      <c r="CM78" s="497"/>
      <c r="CN78" s="497"/>
      <c r="CO78" s="497"/>
      <c r="CP78" s="497"/>
      <c r="CQ78" s="497"/>
      <c r="CR78" s="497"/>
      <c r="CS78" s="497"/>
      <c r="CT78" s="497"/>
      <c r="CU78" s="497"/>
      <c r="CV78" s="497"/>
      <c r="CW78" s="497"/>
      <c r="CX78" s="497"/>
      <c r="CY78" s="497"/>
      <c r="CZ78" s="497"/>
      <c r="DA78" s="497"/>
      <c r="DB78" s="497"/>
      <c r="DC78" s="497"/>
      <c r="DD78" s="497"/>
      <c r="DE78" s="497"/>
      <c r="DF78" s="497"/>
      <c r="DG78" s="497"/>
      <c r="DH78" s="497"/>
      <c r="DI78" s="497"/>
      <c r="DJ78" s="497"/>
      <c r="DK78" s="497"/>
      <c r="DL78" s="497"/>
      <c r="DM78" s="497"/>
      <c r="DN78" s="497"/>
      <c r="DO78" s="497"/>
      <c r="DP78" s="497"/>
      <c r="DQ78" s="497"/>
      <c r="DR78" s="497"/>
      <c r="DS78" s="497"/>
      <c r="DT78" s="497"/>
      <c r="DU78" s="497"/>
      <c r="DV78" s="497"/>
      <c r="DW78" s="497"/>
      <c r="DX78" s="497"/>
      <c r="DY78" s="497"/>
      <c r="DZ78" s="497"/>
      <c r="EA78" s="497"/>
      <c r="EB78" s="497"/>
      <c r="EC78" s="497"/>
      <c r="ED78" s="497"/>
      <c r="EE78" s="497"/>
      <c r="EF78" s="497"/>
      <c r="EG78" s="497"/>
      <c r="EH78" s="497"/>
      <c r="EI78" s="497"/>
      <c r="EJ78" s="497"/>
      <c r="EK78" s="497"/>
      <c r="EL78" s="497"/>
      <c r="EM78" s="497"/>
      <c r="EN78" s="497"/>
      <c r="EO78" s="497"/>
      <c r="EP78" s="497"/>
      <c r="EQ78" s="497"/>
      <c r="ER78" s="497"/>
      <c r="ES78" s="497"/>
      <c r="ET78" s="497"/>
      <c r="EU78" s="497"/>
      <c r="EV78" s="497"/>
      <c r="EW78" s="497"/>
      <c r="EX78" s="497"/>
      <c r="EY78" s="497"/>
      <c r="EZ78" s="497"/>
      <c r="FA78" s="497"/>
      <c r="FB78" s="497"/>
      <c r="FC78" s="497"/>
      <c r="FD78" s="497"/>
      <c r="FE78" s="497"/>
      <c r="FF78" s="497"/>
      <c r="FG78" s="497"/>
      <c r="FH78" s="497"/>
      <c r="FI78" s="497"/>
      <c r="FJ78" s="497"/>
      <c r="FK78" s="497"/>
      <c r="FL78" s="497"/>
      <c r="FM78" s="497"/>
      <c r="FN78" s="497"/>
      <c r="FO78" s="497"/>
      <c r="FP78" s="497"/>
      <c r="FQ78" s="497"/>
      <c r="FR78" s="497"/>
      <c r="FS78" s="497"/>
      <c r="FT78" s="497"/>
      <c r="FU78" s="497"/>
      <c r="FV78" s="497"/>
      <c r="FW78" s="497"/>
      <c r="FX78" s="497"/>
      <c r="FY78" s="497"/>
      <c r="FZ78" s="497"/>
      <c r="GA78" s="497"/>
      <c r="GB78" s="497"/>
      <c r="GC78" s="497"/>
      <c r="GD78" s="497"/>
      <c r="GE78" s="497"/>
      <c r="GF78" s="497"/>
      <c r="GG78" s="497"/>
      <c r="GH78" s="497"/>
      <c r="GI78" s="497"/>
      <c r="GJ78" s="497"/>
      <c r="GK78" s="497"/>
      <c r="GL78" s="497"/>
      <c r="GM78" s="497"/>
      <c r="GN78" s="497"/>
      <c r="GO78" s="497"/>
      <c r="GP78" s="497"/>
      <c r="GQ78" s="497"/>
      <c r="GR78" s="497"/>
      <c r="GS78" s="497"/>
      <c r="GT78" s="497"/>
      <c r="GU78" s="497"/>
      <c r="GV78" s="497"/>
      <c r="GW78" s="497"/>
      <c r="GX78" s="497"/>
      <c r="GY78" s="497"/>
      <c r="GZ78" s="497"/>
      <c r="HA78" s="497"/>
      <c r="HB78" s="497"/>
      <c r="HC78" s="497"/>
      <c r="HD78" s="497"/>
      <c r="HE78" s="497"/>
      <c r="HF78" s="497"/>
      <c r="HG78" s="497"/>
      <c r="HH78" s="497"/>
      <c r="HI78" s="497"/>
      <c r="HJ78" s="497"/>
      <c r="HK78" s="497"/>
      <c r="HL78" s="497"/>
      <c r="HM78" s="497"/>
      <c r="HN78" s="497"/>
      <c r="HO78" s="497"/>
      <c r="HP78" s="497"/>
      <c r="HQ78" s="497"/>
      <c r="HR78" s="497"/>
      <c r="HS78" s="497"/>
      <c r="HT78" s="497"/>
      <c r="HU78" s="497"/>
      <c r="HV78" s="497"/>
      <c r="HW78" s="497"/>
      <c r="HX78" s="497"/>
      <c r="HY78" s="497"/>
      <c r="HZ78" s="497"/>
      <c r="IA78" s="497"/>
      <c r="IB78" s="497"/>
      <c r="IC78" s="497"/>
      <c r="ID78" s="497"/>
      <c r="IE78" s="497"/>
      <c r="IF78" s="497"/>
      <c r="IG78" s="497"/>
      <c r="IH78" s="497"/>
      <c r="II78" s="497"/>
      <c r="IJ78" s="497"/>
      <c r="IK78" s="497"/>
      <c r="IL78" s="497"/>
      <c r="IM78" s="497"/>
      <c r="IN78" s="497"/>
      <c r="IO78" s="497"/>
      <c r="IP78" s="497"/>
      <c r="IQ78" s="497"/>
      <c r="IR78" s="497"/>
      <c r="IS78" s="497"/>
      <c r="IT78" s="497"/>
      <c r="IU78" s="497"/>
      <c r="IV78" s="497"/>
      <c r="IW78" s="497"/>
    </row>
    <row r="79" spans="1:257" ht="17.649999999999999" hidden="1">
      <c r="A79" s="510"/>
      <c r="B79" s="510"/>
      <c r="C79" s="510"/>
      <c r="D79" s="510"/>
      <c r="E79" s="510"/>
      <c r="F79" s="510"/>
      <c r="G79" s="510"/>
      <c r="H79" s="510"/>
      <c r="I79" s="530"/>
      <c r="J79" s="536"/>
      <c r="K79" s="536"/>
      <c r="L79" s="510"/>
      <c r="M79" s="510"/>
      <c r="N79" s="510"/>
      <c r="O79" s="510"/>
      <c r="P79" s="510"/>
      <c r="Q79" s="510"/>
      <c r="R79" s="510"/>
      <c r="S79" s="510"/>
      <c r="T79" s="510"/>
      <c r="U79" s="510"/>
      <c r="V79" s="510"/>
      <c r="W79" s="510"/>
      <c r="X79" s="510"/>
      <c r="Y79" s="510"/>
      <c r="Z79" s="510"/>
      <c r="AA79" s="510"/>
      <c r="AB79" s="510"/>
      <c r="AC79" s="510"/>
      <c r="AD79" s="510"/>
      <c r="AE79" s="510"/>
      <c r="AF79" s="510"/>
      <c r="AG79" s="510"/>
      <c r="AH79" s="510"/>
      <c r="AI79" s="510"/>
      <c r="AJ79" s="510"/>
      <c r="AK79" s="510"/>
      <c r="AL79" s="510"/>
      <c r="AM79" s="510"/>
      <c r="AN79" s="510"/>
      <c r="AO79" s="510"/>
      <c r="AP79" s="510"/>
      <c r="AQ79" s="510"/>
      <c r="AR79" s="510"/>
      <c r="AS79" s="510"/>
      <c r="AT79" s="510"/>
      <c r="AU79" s="510"/>
      <c r="AV79" s="510"/>
      <c r="AW79" s="510"/>
      <c r="AX79" s="510"/>
      <c r="AY79" s="510"/>
      <c r="AZ79" s="510"/>
      <c r="BA79" s="510"/>
      <c r="BB79" s="510"/>
      <c r="BC79" s="510"/>
      <c r="BD79" s="510"/>
      <c r="BE79" s="510"/>
      <c r="BF79" s="510"/>
      <c r="BG79" s="510"/>
      <c r="BH79" s="510"/>
      <c r="BI79" s="510"/>
      <c r="BJ79" s="510"/>
      <c r="BK79" s="510"/>
      <c r="BL79" s="510"/>
      <c r="BM79" s="510"/>
      <c r="BN79" s="510"/>
      <c r="BO79" s="510"/>
      <c r="BP79" s="510"/>
      <c r="BQ79" s="510"/>
      <c r="BR79" s="510"/>
      <c r="BS79" s="510"/>
      <c r="BT79" s="510"/>
      <c r="BU79" s="510"/>
      <c r="BV79" s="510"/>
      <c r="BW79" s="510"/>
      <c r="BX79" s="510"/>
      <c r="BY79" s="510"/>
      <c r="BZ79" s="510"/>
      <c r="CA79" s="510"/>
      <c r="CB79" s="510"/>
      <c r="CC79" s="510"/>
      <c r="CD79" s="510"/>
      <c r="CE79" s="510"/>
      <c r="CF79" s="510"/>
      <c r="CG79" s="510"/>
      <c r="CH79" s="510"/>
      <c r="CI79" s="510"/>
      <c r="CJ79" s="510"/>
      <c r="CK79" s="510"/>
      <c r="CL79" s="510"/>
      <c r="CM79" s="510"/>
      <c r="CN79" s="510"/>
      <c r="CO79" s="510"/>
      <c r="CP79" s="510"/>
      <c r="CQ79" s="510"/>
      <c r="CR79" s="510"/>
      <c r="CS79" s="510"/>
      <c r="CT79" s="510"/>
      <c r="CU79" s="510"/>
      <c r="CV79" s="510"/>
      <c r="CW79" s="510"/>
      <c r="CX79" s="510"/>
      <c r="CY79" s="510"/>
      <c r="CZ79" s="510"/>
      <c r="DA79" s="510"/>
      <c r="DB79" s="510"/>
      <c r="DC79" s="510"/>
      <c r="DD79" s="510"/>
      <c r="DE79" s="510"/>
      <c r="DF79" s="510"/>
      <c r="DG79" s="510"/>
      <c r="DH79" s="510"/>
      <c r="DI79" s="510"/>
      <c r="DJ79" s="510"/>
      <c r="DK79" s="510"/>
      <c r="DL79" s="510"/>
      <c r="DM79" s="510"/>
      <c r="DN79" s="510"/>
      <c r="DO79" s="510"/>
      <c r="DP79" s="510"/>
      <c r="DQ79" s="510"/>
      <c r="DR79" s="510"/>
      <c r="DS79" s="510"/>
      <c r="DT79" s="510"/>
      <c r="DU79" s="510"/>
      <c r="DV79" s="510"/>
      <c r="DW79" s="510"/>
      <c r="DX79" s="510"/>
      <c r="DY79" s="510"/>
      <c r="DZ79" s="510"/>
      <c r="EA79" s="510"/>
      <c r="EB79" s="510"/>
      <c r="EC79" s="510"/>
      <c r="ED79" s="510"/>
      <c r="EE79" s="510"/>
      <c r="EF79" s="510"/>
      <c r="EG79" s="510"/>
      <c r="EH79" s="510"/>
      <c r="EI79" s="510"/>
      <c r="EJ79" s="510"/>
      <c r="EK79" s="510"/>
      <c r="EL79" s="510"/>
      <c r="EM79" s="510"/>
      <c r="EN79" s="510"/>
      <c r="EO79" s="510"/>
      <c r="EP79" s="510"/>
      <c r="EQ79" s="510"/>
      <c r="ER79" s="510"/>
      <c r="ES79" s="510"/>
      <c r="ET79" s="510"/>
      <c r="EU79" s="510"/>
      <c r="EV79" s="510"/>
      <c r="EW79" s="510"/>
      <c r="EX79" s="510"/>
      <c r="EY79" s="510"/>
      <c r="EZ79" s="510"/>
      <c r="FA79" s="510"/>
      <c r="FB79" s="510"/>
      <c r="FC79" s="510"/>
      <c r="FD79" s="510"/>
      <c r="FE79" s="510"/>
      <c r="FF79" s="510"/>
      <c r="FG79" s="510"/>
      <c r="FH79" s="510"/>
      <c r="FI79" s="510"/>
      <c r="FJ79" s="510"/>
      <c r="FK79" s="510"/>
      <c r="FL79" s="510"/>
      <c r="FM79" s="510"/>
      <c r="FN79" s="510"/>
      <c r="FO79" s="510"/>
      <c r="FP79" s="510"/>
      <c r="FQ79" s="510"/>
      <c r="FR79" s="510"/>
      <c r="FS79" s="510"/>
      <c r="FT79" s="510"/>
      <c r="FU79" s="510"/>
      <c r="FV79" s="510"/>
      <c r="FW79" s="510"/>
      <c r="FX79" s="510"/>
      <c r="FY79" s="510"/>
      <c r="FZ79" s="510"/>
      <c r="GA79" s="510"/>
      <c r="GB79" s="510"/>
      <c r="GC79" s="510"/>
      <c r="GD79" s="510"/>
      <c r="GE79" s="510"/>
      <c r="GF79" s="510"/>
      <c r="GG79" s="510"/>
      <c r="GH79" s="510"/>
      <c r="GI79" s="510"/>
      <c r="GJ79" s="510"/>
      <c r="GK79" s="510"/>
      <c r="GL79" s="510"/>
      <c r="GM79" s="510"/>
      <c r="GN79" s="510"/>
      <c r="GO79" s="510"/>
      <c r="GP79" s="510"/>
      <c r="GQ79" s="510"/>
      <c r="GR79" s="510"/>
      <c r="GS79" s="510"/>
      <c r="GT79" s="510"/>
      <c r="GU79" s="510"/>
      <c r="GV79" s="510"/>
      <c r="GW79" s="510"/>
      <c r="GX79" s="510"/>
      <c r="GY79" s="510"/>
      <c r="GZ79" s="510"/>
      <c r="HA79" s="510"/>
      <c r="HB79" s="510"/>
      <c r="HC79" s="510"/>
      <c r="HD79" s="510"/>
      <c r="HE79" s="510"/>
      <c r="HF79" s="510"/>
      <c r="HG79" s="510"/>
      <c r="HH79" s="510"/>
      <c r="HI79" s="510"/>
      <c r="HJ79" s="510"/>
      <c r="HK79" s="510"/>
      <c r="HL79" s="510"/>
      <c r="HM79" s="510"/>
      <c r="HN79" s="510"/>
      <c r="HO79" s="510"/>
      <c r="HP79" s="510"/>
      <c r="HQ79" s="510"/>
      <c r="HR79" s="510"/>
      <c r="HS79" s="510"/>
      <c r="HT79" s="510"/>
      <c r="HU79" s="510"/>
      <c r="HV79" s="510"/>
      <c r="HW79" s="510"/>
      <c r="HX79" s="510"/>
      <c r="HY79" s="510"/>
      <c r="HZ79" s="510"/>
      <c r="IA79" s="510"/>
      <c r="IB79" s="510"/>
      <c r="IC79" s="510"/>
      <c r="ID79" s="510"/>
      <c r="IE79" s="510"/>
      <c r="IF79" s="510"/>
      <c r="IG79" s="510"/>
      <c r="IH79" s="510"/>
      <c r="II79" s="510"/>
      <c r="IJ79" s="510"/>
      <c r="IK79" s="510"/>
      <c r="IL79" s="510"/>
      <c r="IM79" s="510"/>
      <c r="IN79" s="510"/>
      <c r="IO79" s="510"/>
      <c r="IP79" s="510"/>
      <c r="IQ79" s="510"/>
      <c r="IR79" s="510"/>
      <c r="IS79" s="510"/>
      <c r="IT79" s="510"/>
      <c r="IU79" s="510"/>
      <c r="IV79" s="510"/>
      <c r="IW79" s="510"/>
    </row>
    <row r="80" spans="1:257" s="497" customFormat="1" hidden="1">
      <c r="J80" s="499"/>
      <c r="K80" s="500"/>
      <c r="L80" s="501"/>
      <c r="O80" s="501"/>
      <c r="Q80" s="519"/>
    </row>
    <row r="81" spans="1:257" ht="17.649999999999999" hidden="1">
      <c r="A81" s="537" t="s">
        <v>299</v>
      </c>
      <c r="B81" s="537"/>
      <c r="C81" s="537"/>
      <c r="D81" s="537"/>
      <c r="E81" s="537"/>
      <c r="F81" s="497"/>
      <c r="G81" s="497"/>
      <c r="H81" s="493"/>
      <c r="I81" s="497"/>
      <c r="J81" s="499"/>
      <c r="K81" s="500"/>
      <c r="L81" s="497"/>
      <c r="M81" s="497"/>
      <c r="O81" s="497"/>
      <c r="Q81" s="497"/>
      <c r="AZ81" s="497"/>
      <c r="BA81" s="497"/>
      <c r="BB81" s="497"/>
      <c r="BC81" s="497"/>
      <c r="BD81" s="497"/>
      <c r="BE81" s="497"/>
      <c r="BF81" s="497"/>
      <c r="BG81" s="497"/>
      <c r="BH81" s="497"/>
      <c r="BI81" s="497"/>
      <c r="BJ81" s="497"/>
      <c r="BK81" s="497"/>
      <c r="BL81" s="497"/>
      <c r="BM81" s="497"/>
      <c r="BN81" s="497"/>
      <c r="BO81" s="497"/>
      <c r="BP81" s="497"/>
      <c r="BQ81" s="497"/>
      <c r="BR81" s="497"/>
      <c r="BS81" s="497"/>
      <c r="BT81" s="497"/>
      <c r="BU81" s="497"/>
      <c r="BV81" s="497"/>
      <c r="BW81" s="497"/>
      <c r="BX81" s="497"/>
      <c r="BY81" s="497"/>
      <c r="BZ81" s="497"/>
      <c r="CA81" s="497"/>
      <c r="CB81" s="497"/>
      <c r="CC81" s="497"/>
      <c r="CD81" s="497"/>
      <c r="CE81" s="497"/>
      <c r="CF81" s="497"/>
      <c r="CG81" s="497"/>
      <c r="CH81" s="497"/>
      <c r="CI81" s="497"/>
      <c r="CJ81" s="497"/>
      <c r="CK81" s="497"/>
      <c r="CL81" s="497"/>
      <c r="CM81" s="497"/>
      <c r="CN81" s="497"/>
      <c r="CO81" s="497"/>
      <c r="CP81" s="497"/>
      <c r="CQ81" s="497"/>
      <c r="CR81" s="497"/>
      <c r="CS81" s="497"/>
      <c r="CT81" s="497"/>
      <c r="CU81" s="497"/>
      <c r="CV81" s="497"/>
      <c r="CW81" s="497"/>
      <c r="CX81" s="497"/>
      <c r="CY81" s="497"/>
      <c r="CZ81" s="497"/>
      <c r="DA81" s="497"/>
      <c r="DB81" s="497"/>
      <c r="DC81" s="497"/>
      <c r="DD81" s="497"/>
      <c r="DE81" s="497"/>
      <c r="DF81" s="497"/>
      <c r="DG81" s="497"/>
      <c r="DH81" s="497"/>
      <c r="DI81" s="497"/>
      <c r="DJ81" s="497"/>
      <c r="DK81" s="497"/>
      <c r="DL81" s="497"/>
      <c r="DM81" s="497"/>
      <c r="DN81" s="497"/>
      <c r="DO81" s="497"/>
      <c r="DP81" s="497"/>
      <c r="DQ81" s="497"/>
      <c r="DR81" s="497"/>
      <c r="DS81" s="497"/>
      <c r="DT81" s="497"/>
      <c r="DU81" s="497"/>
      <c r="DV81" s="497"/>
      <c r="DW81" s="497"/>
      <c r="DX81" s="497"/>
      <c r="DY81" s="497"/>
      <c r="DZ81" s="497"/>
      <c r="EA81" s="497"/>
      <c r="EB81" s="497"/>
      <c r="EC81" s="497"/>
      <c r="ED81" s="497"/>
      <c r="EE81" s="497"/>
      <c r="EF81" s="497"/>
      <c r="EG81" s="497"/>
      <c r="EH81" s="497"/>
      <c r="EI81" s="497"/>
      <c r="EJ81" s="497"/>
      <c r="EK81" s="497"/>
      <c r="EL81" s="497"/>
      <c r="EM81" s="497"/>
      <c r="EN81" s="497"/>
      <c r="EO81" s="497"/>
      <c r="EP81" s="497"/>
      <c r="EQ81" s="497"/>
      <c r="ER81" s="497"/>
      <c r="ES81" s="497"/>
      <c r="ET81" s="497"/>
      <c r="EU81" s="497"/>
      <c r="EV81" s="497"/>
      <c r="EW81" s="497"/>
      <c r="EX81" s="497"/>
      <c r="EY81" s="497"/>
      <c r="EZ81" s="497"/>
      <c r="FA81" s="497"/>
      <c r="FB81" s="497"/>
      <c r="FC81" s="497"/>
      <c r="FD81" s="497"/>
      <c r="FE81" s="497"/>
      <c r="FF81" s="497"/>
      <c r="FG81" s="497"/>
      <c r="FH81" s="497"/>
      <c r="FI81" s="497"/>
      <c r="FJ81" s="497"/>
      <c r="FK81" s="497"/>
      <c r="FL81" s="497"/>
      <c r="FM81" s="497"/>
      <c r="FN81" s="497"/>
      <c r="FO81" s="497"/>
      <c r="FP81" s="497"/>
      <c r="FQ81" s="497"/>
      <c r="FR81" s="497"/>
      <c r="FS81" s="497"/>
      <c r="FT81" s="497"/>
      <c r="FU81" s="497"/>
      <c r="FV81" s="497"/>
      <c r="FW81" s="497"/>
      <c r="FX81" s="497"/>
      <c r="FY81" s="497"/>
      <c r="FZ81" s="497"/>
      <c r="GA81" s="497"/>
      <c r="GB81" s="497"/>
      <c r="GC81" s="497"/>
      <c r="GD81" s="497"/>
      <c r="GE81" s="497"/>
      <c r="GF81" s="497"/>
      <c r="GG81" s="497"/>
      <c r="GH81" s="497"/>
      <c r="GI81" s="497"/>
      <c r="GJ81" s="497"/>
      <c r="GK81" s="497"/>
      <c r="GL81" s="497"/>
      <c r="GM81" s="497"/>
      <c r="GN81" s="497"/>
      <c r="GO81" s="497"/>
      <c r="GP81" s="497"/>
      <c r="GQ81" s="497"/>
      <c r="GR81" s="497"/>
      <c r="GS81" s="497"/>
      <c r="GT81" s="497"/>
      <c r="GU81" s="497"/>
      <c r="GV81" s="497"/>
      <c r="GW81" s="497"/>
      <c r="GX81" s="497"/>
      <c r="GY81" s="497"/>
      <c r="GZ81" s="497"/>
      <c r="HA81" s="497"/>
      <c r="HB81" s="497"/>
      <c r="HC81" s="497"/>
      <c r="HD81" s="497"/>
      <c r="HE81" s="497"/>
      <c r="HF81" s="497"/>
      <c r="HG81" s="497"/>
      <c r="HH81" s="497"/>
      <c r="HI81" s="497"/>
      <c r="HJ81" s="497"/>
      <c r="HK81" s="497"/>
      <c r="HL81" s="497"/>
      <c r="HM81" s="497"/>
      <c r="HN81" s="497"/>
      <c r="HO81" s="497"/>
      <c r="HP81" s="497"/>
      <c r="HQ81" s="497"/>
      <c r="HR81" s="497"/>
      <c r="HS81" s="497"/>
      <c r="HT81" s="497"/>
      <c r="HU81" s="497"/>
      <c r="HV81" s="497"/>
      <c r="HW81" s="497"/>
      <c r="HX81" s="497"/>
      <c r="HY81" s="497"/>
      <c r="HZ81" s="497"/>
      <c r="IA81" s="497"/>
      <c r="IB81" s="497"/>
      <c r="IC81" s="497"/>
      <c r="ID81" s="497"/>
      <c r="IE81" s="497"/>
      <c r="IF81" s="497"/>
      <c r="IG81" s="497"/>
      <c r="IH81" s="497"/>
      <c r="II81" s="497"/>
      <c r="IJ81" s="497"/>
      <c r="IK81" s="497"/>
      <c r="IL81" s="497"/>
      <c r="IM81" s="497"/>
      <c r="IN81" s="497"/>
      <c r="IO81" s="497"/>
      <c r="IP81" s="497"/>
      <c r="IQ81" s="497"/>
      <c r="IR81" s="497"/>
      <c r="IS81" s="497"/>
      <c r="IT81" s="497"/>
      <c r="IU81" s="497"/>
      <c r="IV81" s="497"/>
      <c r="IW81" s="497"/>
    </row>
    <row r="82" spans="1:257" ht="17.649999999999999" hidden="1">
      <c r="A82" s="538" t="s">
        <v>301</v>
      </c>
      <c r="B82" s="537"/>
      <c r="C82" s="537"/>
      <c r="D82" s="538"/>
      <c r="E82" s="538"/>
      <c r="F82" s="497"/>
      <c r="G82" s="493"/>
      <c r="H82" s="493"/>
      <c r="I82" s="493"/>
      <c r="J82" s="494"/>
      <c r="K82" s="495"/>
      <c r="L82" s="493"/>
      <c r="M82" s="493"/>
      <c r="N82" s="493"/>
      <c r="O82" s="493"/>
      <c r="P82" s="493"/>
      <c r="Q82" s="493"/>
      <c r="R82" s="493"/>
      <c r="S82" s="493"/>
      <c r="T82" s="493"/>
      <c r="U82" s="493"/>
      <c r="V82" s="493"/>
      <c r="W82" s="493"/>
      <c r="X82" s="493"/>
      <c r="Y82" s="493"/>
      <c r="Z82" s="493"/>
      <c r="AA82" s="493"/>
      <c r="AB82" s="493"/>
      <c r="AC82" s="493"/>
      <c r="AD82" s="493"/>
      <c r="AE82" s="493"/>
      <c r="AF82" s="493"/>
      <c r="AG82" s="493"/>
      <c r="AH82" s="493"/>
      <c r="AI82" s="493"/>
      <c r="AJ82" s="493"/>
      <c r="AK82" s="493"/>
      <c r="AL82" s="493"/>
      <c r="AM82" s="493"/>
      <c r="AN82" s="493"/>
      <c r="AO82" s="493"/>
      <c r="AP82" s="493"/>
      <c r="AQ82" s="493"/>
      <c r="AR82" s="493"/>
      <c r="AS82" s="493"/>
      <c r="AT82" s="493"/>
      <c r="AU82" s="493"/>
      <c r="AV82" s="493"/>
      <c r="AW82" s="493"/>
      <c r="AX82" s="493"/>
      <c r="AY82" s="493"/>
      <c r="AZ82" s="493"/>
      <c r="BA82" s="493"/>
      <c r="BB82" s="493"/>
      <c r="BC82" s="493"/>
      <c r="BD82" s="493"/>
      <c r="BE82" s="493"/>
      <c r="BF82" s="493"/>
      <c r="BG82" s="493"/>
      <c r="BH82" s="493"/>
      <c r="BI82" s="493"/>
      <c r="BJ82" s="493"/>
      <c r="BK82" s="493"/>
      <c r="BL82" s="493"/>
      <c r="BM82" s="493"/>
      <c r="BN82" s="493"/>
      <c r="BO82" s="493"/>
      <c r="BP82" s="493"/>
      <c r="BQ82" s="493"/>
      <c r="BR82" s="493"/>
      <c r="BS82" s="493"/>
      <c r="BT82" s="493"/>
      <c r="BU82" s="493"/>
      <c r="BV82" s="493"/>
      <c r="BW82" s="493"/>
      <c r="BX82" s="493"/>
      <c r="BY82" s="493"/>
      <c r="BZ82" s="493"/>
      <c r="CA82" s="493"/>
      <c r="CB82" s="493"/>
      <c r="CC82" s="493"/>
      <c r="CD82" s="493"/>
      <c r="CE82" s="493"/>
      <c r="CF82" s="493"/>
      <c r="CG82" s="493"/>
      <c r="CH82" s="493"/>
      <c r="CI82" s="493"/>
      <c r="CJ82" s="493"/>
      <c r="CK82" s="493"/>
      <c r="CL82" s="493"/>
      <c r="CM82" s="493"/>
      <c r="CN82" s="493"/>
      <c r="CO82" s="493"/>
      <c r="CP82" s="493"/>
      <c r="CQ82" s="493"/>
      <c r="CR82" s="493"/>
      <c r="CS82" s="493"/>
      <c r="CT82" s="493"/>
      <c r="CU82" s="493"/>
      <c r="CV82" s="493"/>
      <c r="CW82" s="493"/>
      <c r="CX82" s="493"/>
      <c r="CY82" s="493"/>
      <c r="CZ82" s="493"/>
      <c r="DA82" s="493"/>
      <c r="DB82" s="493"/>
      <c r="DC82" s="493"/>
      <c r="DD82" s="493"/>
      <c r="DE82" s="493"/>
      <c r="DF82" s="493"/>
      <c r="DG82" s="493"/>
      <c r="DH82" s="493"/>
      <c r="DI82" s="493"/>
      <c r="DJ82" s="493"/>
      <c r="DK82" s="493"/>
      <c r="DL82" s="493"/>
      <c r="DM82" s="493"/>
      <c r="DN82" s="493"/>
      <c r="DO82" s="493"/>
      <c r="DP82" s="493"/>
      <c r="DQ82" s="493"/>
      <c r="DR82" s="493"/>
      <c r="DS82" s="493"/>
      <c r="DT82" s="493"/>
      <c r="DU82" s="493"/>
      <c r="DV82" s="493"/>
      <c r="DW82" s="493"/>
      <c r="DX82" s="493"/>
      <c r="DY82" s="493"/>
      <c r="DZ82" s="493"/>
      <c r="EA82" s="493"/>
      <c r="EB82" s="493"/>
      <c r="EC82" s="493"/>
      <c r="ED82" s="493"/>
      <c r="EE82" s="493"/>
      <c r="EF82" s="493"/>
      <c r="EG82" s="493"/>
      <c r="EH82" s="493"/>
      <c r="EI82" s="493"/>
      <c r="EJ82" s="493"/>
      <c r="EK82" s="493"/>
      <c r="EL82" s="493"/>
      <c r="EM82" s="493"/>
      <c r="EN82" s="493"/>
      <c r="EO82" s="493"/>
      <c r="EP82" s="493"/>
      <c r="EQ82" s="493"/>
      <c r="ER82" s="493"/>
      <c r="ES82" s="493"/>
      <c r="ET82" s="493"/>
      <c r="EU82" s="493"/>
      <c r="EV82" s="493"/>
      <c r="EW82" s="493"/>
      <c r="EX82" s="493"/>
      <c r="EY82" s="493"/>
      <c r="EZ82" s="493"/>
      <c r="FA82" s="493"/>
      <c r="FB82" s="493"/>
      <c r="FC82" s="493"/>
      <c r="FD82" s="493"/>
      <c r="FE82" s="493"/>
      <c r="FF82" s="493"/>
      <c r="FG82" s="493"/>
      <c r="FH82" s="493"/>
      <c r="FI82" s="493"/>
      <c r="FJ82" s="493"/>
      <c r="FK82" s="493"/>
      <c r="FL82" s="493"/>
      <c r="FM82" s="493"/>
      <c r="FN82" s="493"/>
      <c r="FO82" s="493"/>
      <c r="FP82" s="493"/>
      <c r="FQ82" s="493"/>
      <c r="FR82" s="493"/>
      <c r="FS82" s="493"/>
      <c r="FT82" s="493"/>
      <c r="FU82" s="493"/>
      <c r="FV82" s="493"/>
      <c r="FW82" s="493"/>
      <c r="FX82" s="493"/>
      <c r="FY82" s="493"/>
      <c r="FZ82" s="493"/>
      <c r="GA82" s="493"/>
      <c r="GB82" s="493"/>
      <c r="GC82" s="493"/>
      <c r="GD82" s="493"/>
      <c r="GE82" s="493"/>
      <c r="GF82" s="493"/>
      <c r="GG82" s="493"/>
      <c r="GH82" s="493"/>
      <c r="GI82" s="493"/>
      <c r="GJ82" s="493"/>
      <c r="GK82" s="493"/>
      <c r="GL82" s="493"/>
      <c r="GM82" s="493"/>
      <c r="GN82" s="493"/>
      <c r="GO82" s="493"/>
      <c r="GP82" s="493"/>
      <c r="GQ82" s="493"/>
      <c r="GR82" s="493"/>
      <c r="GS82" s="493"/>
      <c r="GT82" s="493"/>
      <c r="GU82" s="493"/>
      <c r="GV82" s="493"/>
      <c r="GW82" s="493"/>
      <c r="GX82" s="493"/>
      <c r="GY82" s="493"/>
      <c r="GZ82" s="493"/>
      <c r="HA82" s="493"/>
      <c r="HB82" s="493"/>
      <c r="HC82" s="493"/>
      <c r="HD82" s="493"/>
      <c r="HE82" s="493"/>
      <c r="HF82" s="493"/>
      <c r="HG82" s="493"/>
      <c r="HH82" s="493"/>
      <c r="HI82" s="493"/>
      <c r="HJ82" s="493"/>
      <c r="HK82" s="493"/>
      <c r="HL82" s="493"/>
      <c r="HM82" s="493"/>
      <c r="HN82" s="493"/>
      <c r="HO82" s="493"/>
      <c r="HP82" s="493"/>
      <c r="HQ82" s="493"/>
      <c r="HR82" s="493"/>
      <c r="HS82" s="493"/>
      <c r="HT82" s="493"/>
      <c r="HU82" s="493"/>
      <c r="HV82" s="493"/>
      <c r="HW82" s="493"/>
      <c r="HX82" s="493"/>
      <c r="HY82" s="493"/>
      <c r="HZ82" s="493"/>
      <c r="IA82" s="493"/>
      <c r="IB82" s="493"/>
      <c r="IC82" s="493"/>
      <c r="ID82" s="493"/>
      <c r="IE82" s="493"/>
      <c r="IF82" s="493"/>
      <c r="IG82" s="493"/>
      <c r="IH82" s="493"/>
      <c r="II82" s="493"/>
      <c r="IJ82" s="493"/>
      <c r="IK82" s="493"/>
      <c r="IL82" s="493"/>
      <c r="IM82" s="493"/>
      <c r="IN82" s="493"/>
      <c r="IO82" s="493"/>
      <c r="IP82" s="493"/>
      <c r="IQ82" s="493"/>
      <c r="IR82" s="493"/>
      <c r="IS82" s="493"/>
      <c r="IT82" s="493"/>
      <c r="IU82" s="493"/>
      <c r="IV82" s="493"/>
      <c r="IW82" s="493"/>
    </row>
    <row r="83" spans="1:257" ht="17.649999999999999" hidden="1">
      <c r="A83" s="537" t="s">
        <v>390</v>
      </c>
      <c r="B83" s="537"/>
      <c r="C83" s="537"/>
      <c r="D83" s="537"/>
      <c r="E83" s="537"/>
      <c r="F83" s="497"/>
      <c r="G83" s="493"/>
      <c r="H83" s="493"/>
      <c r="I83" s="493"/>
      <c r="J83" s="494"/>
      <c r="K83" s="495"/>
      <c r="L83" s="493"/>
      <c r="M83" s="493"/>
      <c r="N83" s="493"/>
      <c r="O83" s="493"/>
      <c r="P83" s="493"/>
      <c r="Q83" s="493"/>
      <c r="R83" s="493"/>
      <c r="S83" s="493"/>
      <c r="T83" s="493"/>
      <c r="U83" s="493"/>
      <c r="V83" s="493"/>
      <c r="W83" s="493"/>
      <c r="X83" s="493"/>
      <c r="Y83" s="493"/>
      <c r="Z83" s="493"/>
      <c r="AA83" s="493"/>
      <c r="AB83" s="493"/>
      <c r="AC83" s="493"/>
      <c r="AD83" s="493"/>
      <c r="AE83" s="493"/>
      <c r="AF83" s="493"/>
      <c r="AG83" s="493"/>
      <c r="AH83" s="493"/>
      <c r="AI83" s="493"/>
      <c r="AJ83" s="493"/>
      <c r="AK83" s="493"/>
      <c r="AL83" s="493"/>
      <c r="AM83" s="493"/>
      <c r="AN83" s="493"/>
      <c r="AO83" s="493"/>
      <c r="AP83" s="493"/>
      <c r="AQ83" s="493"/>
      <c r="AR83" s="493"/>
      <c r="AS83" s="493"/>
      <c r="AT83" s="493"/>
      <c r="AU83" s="493"/>
      <c r="AV83" s="493"/>
      <c r="AW83" s="493"/>
      <c r="AX83" s="493"/>
      <c r="AY83" s="493"/>
      <c r="AZ83" s="493"/>
      <c r="BA83" s="493"/>
      <c r="BB83" s="493"/>
      <c r="BC83" s="493"/>
      <c r="BD83" s="493"/>
      <c r="BE83" s="493"/>
      <c r="BF83" s="493"/>
      <c r="BG83" s="493"/>
      <c r="BH83" s="493"/>
      <c r="BI83" s="493"/>
      <c r="BJ83" s="493"/>
      <c r="BK83" s="493"/>
      <c r="BL83" s="493"/>
      <c r="BM83" s="493"/>
      <c r="BN83" s="493"/>
      <c r="BO83" s="493"/>
      <c r="BP83" s="493"/>
      <c r="BQ83" s="493"/>
      <c r="BR83" s="493"/>
      <c r="BS83" s="493"/>
      <c r="BT83" s="493"/>
      <c r="BU83" s="493"/>
      <c r="BV83" s="493"/>
      <c r="BW83" s="493"/>
      <c r="BX83" s="493"/>
      <c r="BY83" s="493"/>
      <c r="BZ83" s="493"/>
      <c r="CA83" s="493"/>
      <c r="CB83" s="493"/>
      <c r="CC83" s="493"/>
      <c r="CD83" s="493"/>
      <c r="CE83" s="493"/>
      <c r="CF83" s="493"/>
      <c r="CG83" s="493"/>
      <c r="CH83" s="493"/>
      <c r="CI83" s="493"/>
      <c r="CJ83" s="493"/>
      <c r="CK83" s="493"/>
      <c r="CL83" s="493"/>
      <c r="CM83" s="493"/>
      <c r="CN83" s="493"/>
      <c r="CO83" s="493"/>
      <c r="CP83" s="493"/>
      <c r="CQ83" s="493"/>
      <c r="CR83" s="493"/>
      <c r="CS83" s="493"/>
      <c r="CT83" s="493"/>
      <c r="CU83" s="493"/>
      <c r="CV83" s="493"/>
      <c r="CW83" s="493"/>
      <c r="CX83" s="493"/>
      <c r="CY83" s="493"/>
      <c r="CZ83" s="493"/>
      <c r="DA83" s="493"/>
      <c r="DB83" s="493"/>
      <c r="DC83" s="493"/>
      <c r="DD83" s="493"/>
      <c r="DE83" s="493"/>
      <c r="DF83" s="493"/>
      <c r="DG83" s="493"/>
      <c r="DH83" s="493"/>
      <c r="DI83" s="493"/>
      <c r="DJ83" s="493"/>
      <c r="DK83" s="493"/>
      <c r="DL83" s="493"/>
      <c r="DM83" s="493"/>
      <c r="DN83" s="493"/>
      <c r="DO83" s="493"/>
      <c r="DP83" s="493"/>
      <c r="DQ83" s="493"/>
      <c r="DR83" s="493"/>
      <c r="DS83" s="493"/>
      <c r="DT83" s="493"/>
      <c r="DU83" s="493"/>
      <c r="DV83" s="493"/>
      <c r="DW83" s="493"/>
      <c r="DX83" s="493"/>
      <c r="DY83" s="493"/>
      <c r="DZ83" s="493"/>
      <c r="EA83" s="493"/>
      <c r="EB83" s="493"/>
      <c r="EC83" s="493"/>
      <c r="ED83" s="493"/>
      <c r="EE83" s="493"/>
      <c r="EF83" s="493"/>
      <c r="EG83" s="493"/>
      <c r="EH83" s="493"/>
      <c r="EI83" s="493"/>
      <c r="EJ83" s="493"/>
      <c r="EK83" s="493"/>
      <c r="EL83" s="493"/>
      <c r="EM83" s="493"/>
      <c r="EN83" s="493"/>
      <c r="EO83" s="493"/>
      <c r="EP83" s="493"/>
      <c r="EQ83" s="493"/>
      <c r="ER83" s="493"/>
      <c r="ES83" s="493"/>
      <c r="ET83" s="493"/>
      <c r="EU83" s="493"/>
      <c r="EV83" s="493"/>
      <c r="EW83" s="493"/>
      <c r="EX83" s="493"/>
      <c r="EY83" s="493"/>
      <c r="EZ83" s="493"/>
      <c r="FA83" s="493"/>
      <c r="FB83" s="493"/>
      <c r="FC83" s="493"/>
      <c r="FD83" s="493"/>
      <c r="FE83" s="493"/>
      <c r="FF83" s="493"/>
      <c r="FG83" s="493"/>
      <c r="FH83" s="493"/>
      <c r="FI83" s="493"/>
      <c r="FJ83" s="493"/>
      <c r="FK83" s="493"/>
      <c r="FL83" s="493"/>
      <c r="FM83" s="493"/>
      <c r="FN83" s="493"/>
      <c r="FO83" s="493"/>
      <c r="FP83" s="493"/>
      <c r="FQ83" s="493"/>
      <c r="FR83" s="493"/>
      <c r="FS83" s="493"/>
      <c r="FT83" s="493"/>
      <c r="FU83" s="493"/>
      <c r="FV83" s="493"/>
      <c r="FW83" s="493"/>
      <c r="FX83" s="493"/>
      <c r="FY83" s="493"/>
      <c r="FZ83" s="493"/>
      <c r="GA83" s="493"/>
      <c r="GB83" s="493"/>
      <c r="GC83" s="493"/>
      <c r="GD83" s="493"/>
      <c r="GE83" s="493"/>
      <c r="GF83" s="493"/>
      <c r="GG83" s="493"/>
      <c r="GH83" s="493"/>
      <c r="GI83" s="493"/>
      <c r="GJ83" s="493"/>
      <c r="GK83" s="493"/>
      <c r="GL83" s="493"/>
      <c r="GM83" s="493"/>
      <c r="GN83" s="493"/>
      <c r="GO83" s="493"/>
      <c r="GP83" s="493"/>
      <c r="GQ83" s="493"/>
      <c r="GR83" s="493"/>
      <c r="GS83" s="493"/>
      <c r="GT83" s="493"/>
      <c r="GU83" s="493"/>
      <c r="GV83" s="493"/>
      <c r="GW83" s="493"/>
      <c r="GX83" s="493"/>
      <c r="GY83" s="493"/>
      <c r="GZ83" s="493"/>
      <c r="HA83" s="493"/>
      <c r="HB83" s="493"/>
      <c r="HC83" s="493"/>
      <c r="HD83" s="493"/>
      <c r="HE83" s="493"/>
      <c r="HF83" s="493"/>
      <c r="HG83" s="493"/>
      <c r="HH83" s="493"/>
      <c r="HI83" s="493"/>
      <c r="HJ83" s="493"/>
      <c r="HK83" s="493"/>
      <c r="HL83" s="493"/>
      <c r="HM83" s="493"/>
      <c r="HN83" s="493"/>
      <c r="HO83" s="493"/>
      <c r="HP83" s="493"/>
      <c r="HQ83" s="493"/>
      <c r="HR83" s="493"/>
      <c r="HS83" s="493"/>
      <c r="HT83" s="493"/>
      <c r="HU83" s="493"/>
      <c r="HV83" s="493"/>
      <c r="HW83" s="493"/>
      <c r="HX83" s="493"/>
      <c r="HY83" s="493"/>
      <c r="HZ83" s="493"/>
      <c r="IA83" s="493"/>
      <c r="IB83" s="493"/>
      <c r="IC83" s="493"/>
      <c r="ID83" s="493"/>
      <c r="IE83" s="493"/>
      <c r="IF83" s="493"/>
      <c r="IG83" s="493"/>
      <c r="IH83" s="493"/>
      <c r="II83" s="493"/>
      <c r="IJ83" s="493"/>
      <c r="IK83" s="493"/>
      <c r="IL83" s="493"/>
      <c r="IM83" s="493"/>
      <c r="IN83" s="493"/>
      <c r="IO83" s="493"/>
      <c r="IP83" s="493"/>
      <c r="IQ83" s="493"/>
      <c r="IR83" s="493"/>
      <c r="IS83" s="493"/>
      <c r="IT83" s="493"/>
      <c r="IU83" s="493"/>
      <c r="IV83" s="493"/>
      <c r="IW83" s="493"/>
    </row>
    <row r="84" spans="1:257" ht="17.649999999999999" hidden="1">
      <c r="A84" s="493"/>
      <c r="B84" s="493"/>
      <c r="C84" s="493"/>
      <c r="D84" s="493"/>
      <c r="E84" s="493"/>
      <c r="F84" s="493"/>
      <c r="G84" s="493"/>
      <c r="H84" s="493"/>
      <c r="I84" s="493"/>
      <c r="J84" s="494"/>
      <c r="K84" s="495"/>
      <c r="L84" s="493"/>
      <c r="M84" s="493"/>
      <c r="N84" s="493"/>
      <c r="O84" s="493"/>
      <c r="P84" s="493"/>
      <c r="Q84" s="493"/>
      <c r="R84" s="493"/>
      <c r="S84" s="493"/>
      <c r="T84" s="493"/>
      <c r="U84" s="493"/>
      <c r="V84" s="493"/>
      <c r="W84" s="493"/>
      <c r="X84" s="493"/>
      <c r="Y84" s="493"/>
      <c r="Z84" s="493"/>
      <c r="AA84" s="493"/>
      <c r="AB84" s="493"/>
      <c r="AC84" s="493"/>
      <c r="AD84" s="493"/>
      <c r="AE84" s="493"/>
      <c r="AF84" s="493"/>
      <c r="AG84" s="493"/>
      <c r="AH84" s="493"/>
      <c r="AI84" s="493"/>
      <c r="AJ84" s="493"/>
      <c r="AK84" s="493"/>
      <c r="AL84" s="493"/>
      <c r="AM84" s="493"/>
      <c r="AN84" s="493"/>
      <c r="AO84" s="493"/>
      <c r="AP84" s="493"/>
      <c r="AQ84" s="493"/>
      <c r="AR84" s="493"/>
      <c r="AS84" s="493"/>
      <c r="AT84" s="493"/>
      <c r="AU84" s="493"/>
      <c r="AV84" s="493"/>
      <c r="AW84" s="493"/>
      <c r="AX84" s="493"/>
      <c r="AY84" s="493"/>
      <c r="AZ84" s="493"/>
      <c r="BA84" s="493"/>
      <c r="BB84" s="493"/>
      <c r="BC84" s="493"/>
      <c r="BD84" s="493"/>
      <c r="BE84" s="493"/>
      <c r="BF84" s="493"/>
      <c r="BG84" s="493"/>
      <c r="BH84" s="493"/>
      <c r="BI84" s="493"/>
      <c r="BJ84" s="493"/>
      <c r="BK84" s="493"/>
      <c r="BL84" s="493"/>
      <c r="BM84" s="493"/>
      <c r="BN84" s="493"/>
      <c r="BO84" s="493"/>
      <c r="BP84" s="493"/>
      <c r="BQ84" s="493"/>
      <c r="BR84" s="493"/>
      <c r="BS84" s="493"/>
      <c r="BT84" s="493"/>
      <c r="BU84" s="493"/>
      <c r="BV84" s="493"/>
      <c r="BW84" s="493"/>
      <c r="BX84" s="493"/>
      <c r="BY84" s="493"/>
      <c r="BZ84" s="493"/>
      <c r="CA84" s="493"/>
      <c r="CB84" s="493"/>
      <c r="CC84" s="493"/>
      <c r="CD84" s="493"/>
      <c r="CE84" s="493"/>
      <c r="CF84" s="493"/>
      <c r="CG84" s="493"/>
      <c r="CH84" s="493"/>
      <c r="CI84" s="493"/>
      <c r="CJ84" s="493"/>
      <c r="CK84" s="493"/>
      <c r="CL84" s="493"/>
      <c r="CM84" s="493"/>
      <c r="CN84" s="493"/>
      <c r="CO84" s="493"/>
      <c r="CP84" s="493"/>
      <c r="CQ84" s="493"/>
      <c r="CR84" s="493"/>
      <c r="CS84" s="493"/>
      <c r="CT84" s="493"/>
      <c r="CU84" s="493"/>
      <c r="CV84" s="493"/>
      <c r="CW84" s="493"/>
      <c r="CX84" s="493"/>
      <c r="CY84" s="493"/>
      <c r="CZ84" s="493"/>
      <c r="DA84" s="493"/>
      <c r="DB84" s="493"/>
      <c r="DC84" s="493"/>
      <c r="DD84" s="493"/>
      <c r="DE84" s="493"/>
      <c r="DF84" s="493"/>
      <c r="DG84" s="493"/>
      <c r="DH84" s="493"/>
      <c r="DI84" s="493"/>
      <c r="DJ84" s="493"/>
      <c r="DK84" s="493"/>
      <c r="DL84" s="493"/>
      <c r="DM84" s="493"/>
      <c r="DN84" s="493"/>
      <c r="DO84" s="493"/>
      <c r="DP84" s="493"/>
      <c r="DQ84" s="493"/>
      <c r="DR84" s="493"/>
      <c r="DS84" s="493"/>
      <c r="DT84" s="493"/>
      <c r="DU84" s="493"/>
      <c r="DV84" s="493"/>
      <c r="DW84" s="493"/>
      <c r="DX84" s="493"/>
      <c r="DY84" s="493"/>
      <c r="DZ84" s="493"/>
      <c r="EA84" s="493"/>
      <c r="EB84" s="493"/>
      <c r="EC84" s="493"/>
      <c r="ED84" s="493"/>
      <c r="EE84" s="493"/>
      <c r="EF84" s="493"/>
      <c r="EG84" s="493"/>
      <c r="EH84" s="493"/>
      <c r="EI84" s="493"/>
      <c r="EJ84" s="493"/>
      <c r="EK84" s="493"/>
      <c r="EL84" s="493"/>
      <c r="EM84" s="493"/>
      <c r="EN84" s="493"/>
      <c r="EO84" s="493"/>
      <c r="EP84" s="493"/>
      <c r="EQ84" s="493"/>
      <c r="ER84" s="493"/>
      <c r="ES84" s="493"/>
      <c r="ET84" s="493"/>
      <c r="EU84" s="493"/>
      <c r="EV84" s="493"/>
      <c r="EW84" s="493"/>
      <c r="EX84" s="493"/>
      <c r="EY84" s="493"/>
      <c r="EZ84" s="493"/>
      <c r="FA84" s="493"/>
      <c r="FB84" s="493"/>
      <c r="FC84" s="493"/>
      <c r="FD84" s="493"/>
      <c r="FE84" s="493"/>
      <c r="FF84" s="493"/>
      <c r="FG84" s="493"/>
      <c r="FH84" s="493"/>
      <c r="FI84" s="493"/>
      <c r="FJ84" s="493"/>
      <c r="FK84" s="493"/>
      <c r="FL84" s="493"/>
      <c r="FM84" s="493"/>
      <c r="FN84" s="493"/>
      <c r="FO84" s="493"/>
      <c r="FP84" s="493"/>
      <c r="FQ84" s="493"/>
      <c r="FR84" s="493"/>
      <c r="FS84" s="493"/>
      <c r="FT84" s="493"/>
      <c r="FU84" s="493"/>
      <c r="FV84" s="493"/>
      <c r="FW84" s="493"/>
      <c r="FX84" s="493"/>
      <c r="FY84" s="493"/>
      <c r="FZ84" s="493"/>
      <c r="GA84" s="493"/>
      <c r="GB84" s="493"/>
      <c r="GC84" s="493"/>
      <c r="GD84" s="493"/>
      <c r="GE84" s="493"/>
      <c r="GF84" s="493"/>
      <c r="GG84" s="493"/>
      <c r="GH84" s="493"/>
      <c r="GI84" s="493"/>
      <c r="GJ84" s="493"/>
      <c r="GK84" s="493"/>
      <c r="GL84" s="493"/>
      <c r="GM84" s="493"/>
      <c r="GN84" s="493"/>
      <c r="GO84" s="493"/>
      <c r="GP84" s="493"/>
      <c r="GQ84" s="493"/>
      <c r="GR84" s="493"/>
      <c r="GS84" s="493"/>
      <c r="GT84" s="493"/>
      <c r="GU84" s="493"/>
      <c r="GV84" s="493"/>
      <c r="GW84" s="493"/>
      <c r="GX84" s="493"/>
      <c r="GY84" s="493"/>
      <c r="GZ84" s="493"/>
      <c r="HA84" s="493"/>
      <c r="HB84" s="493"/>
      <c r="HC84" s="493"/>
      <c r="HD84" s="493"/>
      <c r="HE84" s="493"/>
      <c r="HF84" s="493"/>
      <c r="HG84" s="493"/>
      <c r="HH84" s="493"/>
      <c r="HI84" s="493"/>
      <c r="HJ84" s="493"/>
      <c r="HK84" s="493"/>
      <c r="HL84" s="493"/>
      <c r="HM84" s="493"/>
      <c r="HN84" s="493"/>
      <c r="HO84" s="493"/>
      <c r="HP84" s="493"/>
      <c r="HQ84" s="493"/>
      <c r="HR84" s="493"/>
      <c r="HS84" s="493"/>
      <c r="HT84" s="493"/>
      <c r="HU84" s="493"/>
      <c r="HV84" s="493"/>
      <c r="HW84" s="493"/>
      <c r="HX84" s="493"/>
      <c r="HY84" s="493"/>
      <c r="HZ84" s="493"/>
      <c r="IA84" s="493"/>
      <c r="IB84" s="493"/>
      <c r="IC84" s="493"/>
      <c r="ID84" s="493"/>
      <c r="IE84" s="493"/>
      <c r="IF84" s="493"/>
      <c r="IG84" s="493"/>
      <c r="IH84" s="493"/>
      <c r="II84" s="493"/>
      <c r="IJ84" s="493"/>
      <c r="IK84" s="493"/>
      <c r="IL84" s="493"/>
      <c r="IM84" s="493"/>
      <c r="IN84" s="493"/>
      <c r="IO84" s="493"/>
      <c r="IP84" s="493"/>
      <c r="IQ84" s="493"/>
      <c r="IR84" s="493"/>
      <c r="IS84" s="493"/>
      <c r="IT84" s="493"/>
      <c r="IU84" s="493"/>
      <c r="IV84" s="493"/>
      <c r="IW84" s="493"/>
    </row>
    <row r="85" spans="1:257" ht="17.649999999999999" hidden="1">
      <c r="A85" s="497" t="s">
        <v>372</v>
      </c>
      <c r="B85" s="497"/>
      <c r="C85" s="502">
        <f>'[3]SUMMARY 2019.20'!$B$2</f>
        <v>43921</v>
      </c>
      <c r="D85" s="493"/>
      <c r="E85" s="493"/>
      <c r="F85" s="493"/>
      <c r="G85" s="493"/>
      <c r="H85" s="493"/>
      <c r="I85" s="493"/>
      <c r="J85" s="494"/>
      <c r="K85" s="495"/>
      <c r="L85" s="493"/>
      <c r="M85" s="497"/>
      <c r="O85" s="497"/>
      <c r="Q85" s="497"/>
      <c r="AZ85" s="497"/>
      <c r="BA85" s="497"/>
      <c r="BB85" s="497"/>
      <c r="BC85" s="497"/>
      <c r="BD85" s="497"/>
      <c r="BE85" s="497"/>
      <c r="BF85" s="497"/>
      <c r="BG85" s="497"/>
      <c r="BH85" s="497"/>
      <c r="BI85" s="497"/>
      <c r="BJ85" s="497"/>
      <c r="BK85" s="497"/>
      <c r="BL85" s="497"/>
      <c r="BM85" s="497"/>
      <c r="BN85" s="497"/>
      <c r="BO85" s="497"/>
      <c r="BP85" s="497"/>
      <c r="BQ85" s="497"/>
      <c r="BR85" s="497"/>
      <c r="BS85" s="497"/>
      <c r="BT85" s="497"/>
      <c r="BU85" s="497"/>
      <c r="BV85" s="497"/>
      <c r="BW85" s="497"/>
      <c r="BX85" s="497"/>
      <c r="BY85" s="497"/>
      <c r="BZ85" s="497"/>
      <c r="CA85" s="497"/>
      <c r="CB85" s="497"/>
      <c r="CC85" s="497"/>
      <c r="CD85" s="497"/>
      <c r="CE85" s="497"/>
      <c r="CF85" s="497"/>
      <c r="CG85" s="497"/>
      <c r="CH85" s="497"/>
      <c r="CI85" s="497"/>
      <c r="CJ85" s="497"/>
      <c r="CK85" s="497"/>
      <c r="CL85" s="497"/>
      <c r="CM85" s="497"/>
      <c r="CN85" s="497"/>
      <c r="CO85" s="497"/>
      <c r="CP85" s="497"/>
      <c r="CQ85" s="497"/>
      <c r="CR85" s="497"/>
      <c r="CS85" s="497"/>
      <c r="CT85" s="497"/>
      <c r="CU85" s="497"/>
      <c r="CV85" s="497"/>
      <c r="CW85" s="497"/>
      <c r="CX85" s="497"/>
      <c r="CY85" s="497"/>
      <c r="CZ85" s="497"/>
      <c r="DA85" s="497"/>
      <c r="DB85" s="497"/>
      <c r="DC85" s="497"/>
      <c r="DD85" s="497"/>
      <c r="DE85" s="497"/>
      <c r="DF85" s="497"/>
      <c r="DG85" s="497"/>
      <c r="DH85" s="497"/>
      <c r="DI85" s="497"/>
      <c r="DJ85" s="497"/>
      <c r="DK85" s="497"/>
      <c r="DL85" s="497"/>
      <c r="DM85" s="497"/>
      <c r="DN85" s="497"/>
      <c r="DO85" s="497"/>
      <c r="DP85" s="497"/>
      <c r="DQ85" s="497"/>
      <c r="DR85" s="497"/>
      <c r="DS85" s="497"/>
      <c r="DT85" s="497"/>
      <c r="DU85" s="497"/>
      <c r="DV85" s="497"/>
      <c r="DW85" s="497"/>
      <c r="DX85" s="497"/>
      <c r="DY85" s="497"/>
      <c r="DZ85" s="497"/>
      <c r="EA85" s="497"/>
      <c r="EB85" s="497"/>
      <c r="EC85" s="497"/>
      <c r="ED85" s="497"/>
      <c r="EE85" s="497"/>
      <c r="EF85" s="497"/>
      <c r="EG85" s="497"/>
      <c r="EH85" s="497"/>
      <c r="EI85" s="497"/>
      <c r="EJ85" s="497"/>
      <c r="EK85" s="497"/>
      <c r="EL85" s="497"/>
      <c r="EM85" s="497"/>
      <c r="EN85" s="497"/>
      <c r="EO85" s="497"/>
      <c r="EP85" s="497"/>
      <c r="EQ85" s="497"/>
      <c r="ER85" s="497"/>
      <c r="ES85" s="497"/>
      <c r="ET85" s="497"/>
      <c r="EU85" s="497"/>
      <c r="EV85" s="497"/>
      <c r="EW85" s="497"/>
      <c r="EX85" s="497"/>
      <c r="EY85" s="497"/>
      <c r="EZ85" s="497"/>
      <c r="FA85" s="497"/>
      <c r="FB85" s="497"/>
      <c r="FC85" s="497"/>
      <c r="FD85" s="497"/>
      <c r="FE85" s="497"/>
      <c r="FF85" s="497"/>
      <c r="FG85" s="497"/>
      <c r="FH85" s="497"/>
      <c r="FI85" s="497"/>
      <c r="FJ85" s="497"/>
      <c r="FK85" s="497"/>
      <c r="FL85" s="497"/>
      <c r="FM85" s="497"/>
      <c r="FN85" s="497"/>
      <c r="FO85" s="497"/>
      <c r="FP85" s="497"/>
      <c r="FQ85" s="497"/>
      <c r="FR85" s="497"/>
      <c r="FS85" s="497"/>
      <c r="FT85" s="497"/>
      <c r="FU85" s="497"/>
      <c r="FV85" s="497"/>
      <c r="FW85" s="497"/>
      <c r="FX85" s="497"/>
      <c r="FY85" s="497"/>
      <c r="FZ85" s="497"/>
      <c r="GA85" s="497"/>
      <c r="GB85" s="497"/>
      <c r="GC85" s="497"/>
      <c r="GD85" s="497"/>
      <c r="GE85" s="497"/>
      <c r="GF85" s="497"/>
      <c r="GG85" s="497"/>
      <c r="GH85" s="497"/>
      <c r="GI85" s="497"/>
      <c r="GJ85" s="497"/>
      <c r="GK85" s="497"/>
      <c r="GL85" s="497"/>
      <c r="GM85" s="497"/>
      <c r="GN85" s="497"/>
      <c r="GO85" s="497"/>
      <c r="GP85" s="497"/>
      <c r="GQ85" s="497"/>
      <c r="GR85" s="497"/>
      <c r="GS85" s="497"/>
      <c r="GT85" s="497"/>
      <c r="GU85" s="497"/>
      <c r="GV85" s="497"/>
      <c r="GW85" s="497"/>
      <c r="GX85" s="497"/>
      <c r="GY85" s="497"/>
      <c r="GZ85" s="497"/>
      <c r="HA85" s="497"/>
      <c r="HB85" s="497"/>
      <c r="HC85" s="497"/>
      <c r="HD85" s="497"/>
      <c r="HE85" s="497"/>
      <c r="HF85" s="497"/>
      <c r="HG85" s="497"/>
      <c r="HH85" s="497"/>
      <c r="HI85" s="497"/>
      <c r="HJ85" s="497"/>
      <c r="HK85" s="497"/>
      <c r="HL85" s="497"/>
      <c r="HM85" s="497"/>
      <c r="HN85" s="497"/>
      <c r="HO85" s="497"/>
      <c r="HP85" s="497"/>
      <c r="HQ85" s="497"/>
      <c r="HR85" s="497"/>
      <c r="HS85" s="497"/>
      <c r="HT85" s="497"/>
      <c r="HU85" s="497"/>
      <c r="HV85" s="497"/>
      <c r="HW85" s="497"/>
      <c r="HX85" s="497"/>
      <c r="HY85" s="497"/>
      <c r="HZ85" s="497"/>
      <c r="IA85" s="497"/>
      <c r="IB85" s="497"/>
      <c r="IC85" s="497"/>
      <c r="ID85" s="497"/>
      <c r="IE85" s="497"/>
      <c r="IF85" s="497"/>
      <c r="IG85" s="497"/>
      <c r="IH85" s="497"/>
      <c r="II85" s="497"/>
      <c r="IJ85" s="497"/>
      <c r="IK85" s="497"/>
      <c r="IL85" s="497"/>
      <c r="IM85" s="497"/>
      <c r="IN85" s="497"/>
      <c r="IO85" s="497"/>
      <c r="IP85" s="497"/>
      <c r="IQ85" s="497"/>
      <c r="IR85" s="497"/>
      <c r="IS85" s="497"/>
      <c r="IT85" s="497"/>
      <c r="IU85" s="497"/>
      <c r="IV85" s="497"/>
      <c r="IW85" s="497"/>
    </row>
    <row r="86" spans="1:257" ht="17.25" hidden="1" customHeight="1">
      <c r="A86" s="558" t="s">
        <v>308</v>
      </c>
      <c r="B86" s="558"/>
      <c r="C86" s="558"/>
      <c r="D86" s="558"/>
      <c r="E86" s="558"/>
      <c r="F86" s="558"/>
      <c r="G86" s="558"/>
      <c r="H86" s="558"/>
      <c r="I86" s="558"/>
      <c r="J86" s="558"/>
      <c r="K86" s="558"/>
      <c r="L86" s="558"/>
      <c r="M86" s="497"/>
      <c r="O86" s="497"/>
      <c r="Q86" s="497"/>
      <c r="AZ86" s="497"/>
      <c r="BA86" s="497"/>
      <c r="BB86" s="497"/>
      <c r="BC86" s="497"/>
      <c r="BD86" s="497"/>
      <c r="BE86" s="497"/>
      <c r="BF86" s="497"/>
      <c r="BG86" s="497"/>
      <c r="BH86" s="497"/>
      <c r="BI86" s="497"/>
      <c r="BJ86" s="497"/>
      <c r="BK86" s="497"/>
      <c r="BL86" s="497"/>
      <c r="BM86" s="497"/>
      <c r="BN86" s="497"/>
      <c r="BO86" s="497"/>
      <c r="BP86" s="497"/>
      <c r="BQ86" s="497"/>
      <c r="BR86" s="497"/>
      <c r="BS86" s="497"/>
      <c r="BT86" s="497"/>
      <c r="BU86" s="497"/>
      <c r="BV86" s="497"/>
      <c r="BW86" s="497"/>
      <c r="BX86" s="497"/>
      <c r="BY86" s="497"/>
      <c r="BZ86" s="497"/>
      <c r="CA86" s="497"/>
      <c r="CB86" s="497"/>
      <c r="CC86" s="497"/>
      <c r="CD86" s="497"/>
      <c r="CE86" s="497"/>
      <c r="CF86" s="497"/>
      <c r="CG86" s="497"/>
      <c r="CH86" s="497"/>
      <c r="CI86" s="497"/>
      <c r="CJ86" s="497"/>
      <c r="CK86" s="497"/>
      <c r="CL86" s="497"/>
      <c r="CM86" s="497"/>
      <c r="CN86" s="497"/>
      <c r="CO86" s="497"/>
      <c r="CP86" s="497"/>
      <c r="CQ86" s="497"/>
      <c r="CR86" s="497"/>
      <c r="CS86" s="497"/>
      <c r="CT86" s="497"/>
      <c r="CU86" s="497"/>
      <c r="CV86" s="497"/>
      <c r="CW86" s="497"/>
      <c r="CX86" s="497"/>
      <c r="CY86" s="497"/>
      <c r="CZ86" s="497"/>
      <c r="DA86" s="497"/>
      <c r="DB86" s="497"/>
      <c r="DC86" s="497"/>
      <c r="DD86" s="497"/>
      <c r="DE86" s="497"/>
      <c r="DF86" s="497"/>
      <c r="DG86" s="497"/>
      <c r="DH86" s="497"/>
      <c r="DI86" s="497"/>
      <c r="DJ86" s="497"/>
      <c r="DK86" s="497"/>
      <c r="DL86" s="497"/>
      <c r="DM86" s="497"/>
      <c r="DN86" s="497"/>
      <c r="DO86" s="497"/>
      <c r="DP86" s="497"/>
      <c r="DQ86" s="497"/>
      <c r="DR86" s="497"/>
      <c r="DS86" s="497"/>
      <c r="DT86" s="497"/>
      <c r="DU86" s="497"/>
      <c r="DV86" s="497"/>
      <c r="DW86" s="497"/>
      <c r="DX86" s="497"/>
      <c r="DY86" s="497"/>
      <c r="DZ86" s="497"/>
      <c r="EA86" s="497"/>
      <c r="EB86" s="497"/>
      <c r="EC86" s="497"/>
      <c r="ED86" s="497"/>
      <c r="EE86" s="497"/>
      <c r="EF86" s="497"/>
      <c r="EG86" s="497"/>
      <c r="EH86" s="497"/>
      <c r="EI86" s="497"/>
      <c r="EJ86" s="497"/>
      <c r="EK86" s="497"/>
      <c r="EL86" s="497"/>
      <c r="EM86" s="497"/>
      <c r="EN86" s="497"/>
      <c r="EO86" s="497"/>
      <c r="EP86" s="497"/>
      <c r="EQ86" s="497"/>
      <c r="ER86" s="497"/>
      <c r="ES86" s="497"/>
      <c r="ET86" s="497"/>
      <c r="EU86" s="497"/>
      <c r="EV86" s="497"/>
      <c r="EW86" s="497"/>
      <c r="EX86" s="497"/>
      <c r="EY86" s="497"/>
      <c r="EZ86" s="497"/>
      <c r="FA86" s="497"/>
      <c r="FB86" s="497"/>
      <c r="FC86" s="497"/>
      <c r="FD86" s="497"/>
      <c r="FE86" s="497"/>
      <c r="FF86" s="497"/>
      <c r="FG86" s="497"/>
      <c r="FH86" s="497"/>
      <c r="FI86" s="497"/>
      <c r="FJ86" s="497"/>
      <c r="FK86" s="497"/>
      <c r="FL86" s="497"/>
      <c r="FM86" s="497"/>
      <c r="FN86" s="497"/>
      <c r="FO86" s="497"/>
      <c r="FP86" s="497"/>
      <c r="FQ86" s="497"/>
      <c r="FR86" s="497"/>
      <c r="FS86" s="497"/>
      <c r="FT86" s="497"/>
      <c r="FU86" s="497"/>
      <c r="FV86" s="497"/>
      <c r="FW86" s="497"/>
      <c r="FX86" s="497"/>
      <c r="FY86" s="497"/>
      <c r="FZ86" s="497"/>
      <c r="GA86" s="497"/>
      <c r="GB86" s="497"/>
      <c r="GC86" s="497"/>
      <c r="GD86" s="497"/>
      <c r="GE86" s="497"/>
      <c r="GF86" s="497"/>
      <c r="GG86" s="497"/>
      <c r="GH86" s="497"/>
      <c r="GI86" s="497"/>
      <c r="GJ86" s="497"/>
      <c r="GK86" s="497"/>
      <c r="GL86" s="497"/>
      <c r="GM86" s="497"/>
      <c r="GN86" s="497"/>
      <c r="GO86" s="497"/>
      <c r="GP86" s="497"/>
      <c r="GQ86" s="497"/>
      <c r="GR86" s="497"/>
      <c r="GS86" s="497"/>
      <c r="GT86" s="497"/>
      <c r="GU86" s="497"/>
      <c r="GV86" s="497"/>
      <c r="GW86" s="497"/>
      <c r="GX86" s="497"/>
      <c r="GY86" s="497"/>
      <c r="GZ86" s="497"/>
      <c r="HA86" s="497"/>
      <c r="HB86" s="497"/>
      <c r="HC86" s="497"/>
      <c r="HD86" s="497"/>
      <c r="HE86" s="497"/>
      <c r="HF86" s="497"/>
      <c r="HG86" s="497"/>
      <c r="HH86" s="497"/>
      <c r="HI86" s="497"/>
      <c r="HJ86" s="497"/>
      <c r="HK86" s="497"/>
      <c r="HL86" s="497"/>
      <c r="HM86" s="497"/>
      <c r="HN86" s="497"/>
      <c r="HO86" s="497"/>
      <c r="HP86" s="497"/>
      <c r="HQ86" s="497"/>
      <c r="HR86" s="497"/>
      <c r="HS86" s="497"/>
      <c r="HT86" s="497"/>
      <c r="HU86" s="497"/>
      <c r="HV86" s="497"/>
      <c r="HW86" s="497"/>
      <c r="HX86" s="497"/>
      <c r="HY86" s="497"/>
      <c r="HZ86" s="497"/>
      <c r="IA86" s="497"/>
      <c r="IB86" s="497"/>
      <c r="IC86" s="497"/>
      <c r="ID86" s="497"/>
      <c r="IE86" s="497"/>
      <c r="IF86" s="497"/>
      <c r="IG86" s="497"/>
      <c r="IH86" s="497"/>
      <c r="II86" s="497"/>
      <c r="IJ86" s="497"/>
      <c r="IK86" s="497"/>
      <c r="IL86" s="497"/>
      <c r="IM86" s="497"/>
      <c r="IN86" s="497"/>
      <c r="IO86" s="497"/>
      <c r="IP86" s="497"/>
      <c r="IQ86" s="497"/>
      <c r="IR86" s="497"/>
      <c r="IS86" s="497"/>
      <c r="IT86" s="497"/>
      <c r="IU86" s="497"/>
      <c r="IV86" s="497"/>
      <c r="IW86" s="497"/>
    </row>
    <row r="87" spans="1:257" ht="17.649999999999999" hidden="1">
      <c r="A87" s="493"/>
      <c r="B87" s="493"/>
      <c r="C87" s="493"/>
      <c r="D87" s="493"/>
      <c r="E87" s="493"/>
      <c r="F87" s="493"/>
      <c r="G87" s="493"/>
      <c r="H87" s="493"/>
      <c r="I87" s="493"/>
      <c r="J87" s="494"/>
      <c r="K87" s="495"/>
      <c r="L87" s="493"/>
      <c r="M87" s="497"/>
      <c r="O87" s="497"/>
      <c r="Q87" s="497"/>
      <c r="AZ87" s="497"/>
      <c r="BA87" s="497"/>
      <c r="BB87" s="497"/>
      <c r="BC87" s="497"/>
      <c r="BD87" s="497"/>
      <c r="BE87" s="497"/>
      <c r="BF87" s="497"/>
      <c r="BG87" s="497"/>
      <c r="BH87" s="497"/>
      <c r="BI87" s="497"/>
      <c r="BJ87" s="497"/>
      <c r="BK87" s="497"/>
      <c r="BL87" s="497"/>
      <c r="BM87" s="497"/>
      <c r="BN87" s="497"/>
      <c r="BO87" s="497"/>
      <c r="BP87" s="497"/>
      <c r="BQ87" s="497"/>
      <c r="BR87" s="497"/>
      <c r="BS87" s="497"/>
      <c r="BT87" s="497"/>
      <c r="BU87" s="497"/>
      <c r="BV87" s="497"/>
      <c r="BW87" s="497"/>
      <c r="BX87" s="497"/>
      <c r="BY87" s="497"/>
      <c r="BZ87" s="497"/>
      <c r="CA87" s="497"/>
      <c r="CB87" s="497"/>
      <c r="CC87" s="497"/>
      <c r="CD87" s="497"/>
      <c r="CE87" s="497"/>
      <c r="CF87" s="497"/>
      <c r="CG87" s="497"/>
      <c r="CH87" s="497"/>
      <c r="CI87" s="497"/>
      <c r="CJ87" s="497"/>
      <c r="CK87" s="497"/>
      <c r="CL87" s="497"/>
      <c r="CM87" s="497"/>
      <c r="CN87" s="497"/>
      <c r="CO87" s="497"/>
      <c r="CP87" s="497"/>
      <c r="CQ87" s="497"/>
      <c r="CR87" s="497"/>
      <c r="CS87" s="497"/>
      <c r="CT87" s="497"/>
      <c r="CU87" s="497"/>
      <c r="CV87" s="497"/>
      <c r="CW87" s="497"/>
      <c r="CX87" s="497"/>
      <c r="CY87" s="497"/>
      <c r="CZ87" s="497"/>
      <c r="DA87" s="497"/>
      <c r="DB87" s="497"/>
      <c r="DC87" s="497"/>
      <c r="DD87" s="497"/>
      <c r="DE87" s="497"/>
      <c r="DF87" s="497"/>
      <c r="DG87" s="497"/>
      <c r="DH87" s="497"/>
      <c r="DI87" s="497"/>
      <c r="DJ87" s="497"/>
      <c r="DK87" s="497"/>
      <c r="DL87" s="497"/>
      <c r="DM87" s="497"/>
      <c r="DN87" s="497"/>
      <c r="DO87" s="497"/>
      <c r="DP87" s="497"/>
      <c r="DQ87" s="497"/>
      <c r="DR87" s="497"/>
      <c r="DS87" s="497"/>
      <c r="DT87" s="497"/>
      <c r="DU87" s="497"/>
      <c r="DV87" s="497"/>
      <c r="DW87" s="497"/>
      <c r="DX87" s="497"/>
      <c r="DY87" s="497"/>
      <c r="DZ87" s="497"/>
      <c r="EA87" s="497"/>
      <c r="EB87" s="497"/>
      <c r="EC87" s="497"/>
      <c r="ED87" s="497"/>
      <c r="EE87" s="497"/>
      <c r="EF87" s="497"/>
      <c r="EG87" s="497"/>
      <c r="EH87" s="497"/>
      <c r="EI87" s="497"/>
      <c r="EJ87" s="497"/>
      <c r="EK87" s="497"/>
      <c r="EL87" s="497"/>
      <c r="EM87" s="497"/>
      <c r="EN87" s="497"/>
      <c r="EO87" s="497"/>
      <c r="EP87" s="497"/>
      <c r="EQ87" s="497"/>
      <c r="ER87" s="497"/>
      <c r="ES87" s="497"/>
      <c r="ET87" s="497"/>
      <c r="EU87" s="497"/>
      <c r="EV87" s="497"/>
      <c r="EW87" s="497"/>
      <c r="EX87" s="497"/>
      <c r="EY87" s="497"/>
      <c r="EZ87" s="497"/>
      <c r="FA87" s="497"/>
      <c r="FB87" s="497"/>
      <c r="FC87" s="497"/>
      <c r="FD87" s="497"/>
      <c r="FE87" s="497"/>
      <c r="FF87" s="497"/>
      <c r="FG87" s="497"/>
      <c r="FH87" s="497"/>
      <c r="FI87" s="497"/>
      <c r="FJ87" s="497"/>
      <c r="FK87" s="497"/>
      <c r="FL87" s="497"/>
      <c r="FM87" s="497"/>
      <c r="FN87" s="497"/>
      <c r="FO87" s="497"/>
      <c r="FP87" s="497"/>
      <c r="FQ87" s="497"/>
      <c r="FR87" s="497"/>
      <c r="FS87" s="497"/>
      <c r="FT87" s="497"/>
      <c r="FU87" s="497"/>
      <c r="FV87" s="497"/>
      <c r="FW87" s="497"/>
      <c r="FX87" s="497"/>
      <c r="FY87" s="497"/>
      <c r="FZ87" s="497"/>
      <c r="GA87" s="497"/>
      <c r="GB87" s="497"/>
      <c r="GC87" s="497"/>
      <c r="GD87" s="497"/>
      <c r="GE87" s="497"/>
      <c r="GF87" s="497"/>
      <c r="GG87" s="497"/>
      <c r="GH87" s="497"/>
      <c r="GI87" s="497"/>
      <c r="GJ87" s="497"/>
      <c r="GK87" s="497"/>
      <c r="GL87" s="497"/>
      <c r="GM87" s="497"/>
      <c r="GN87" s="497"/>
      <c r="GO87" s="497"/>
      <c r="GP87" s="497"/>
      <c r="GQ87" s="497"/>
      <c r="GR87" s="497"/>
      <c r="GS87" s="497"/>
      <c r="GT87" s="497"/>
      <c r="GU87" s="497"/>
      <c r="GV87" s="497"/>
      <c r="GW87" s="497"/>
      <c r="GX87" s="497"/>
      <c r="GY87" s="497"/>
      <c r="GZ87" s="497"/>
      <c r="HA87" s="497"/>
      <c r="HB87" s="497"/>
      <c r="HC87" s="497"/>
      <c r="HD87" s="497"/>
      <c r="HE87" s="497"/>
      <c r="HF87" s="497"/>
      <c r="HG87" s="497"/>
      <c r="HH87" s="497"/>
      <c r="HI87" s="497"/>
      <c r="HJ87" s="497"/>
      <c r="HK87" s="497"/>
      <c r="HL87" s="497"/>
      <c r="HM87" s="497"/>
      <c r="HN87" s="497"/>
      <c r="HO87" s="497"/>
      <c r="HP87" s="497"/>
      <c r="HQ87" s="497"/>
      <c r="HR87" s="497"/>
      <c r="HS87" s="497"/>
      <c r="HT87" s="497"/>
      <c r="HU87" s="497"/>
      <c r="HV87" s="497"/>
      <c r="HW87" s="497"/>
      <c r="HX87" s="497"/>
      <c r="HY87" s="497"/>
      <c r="HZ87" s="497"/>
      <c r="IA87" s="497"/>
      <c r="IB87" s="497"/>
      <c r="IC87" s="497"/>
      <c r="ID87" s="497"/>
      <c r="IE87" s="497"/>
      <c r="IF87" s="497"/>
      <c r="IG87" s="497"/>
      <c r="IH87" s="497"/>
      <c r="II87" s="497"/>
      <c r="IJ87" s="497"/>
      <c r="IK87" s="497"/>
      <c r="IL87" s="497"/>
      <c r="IM87" s="497"/>
      <c r="IN87" s="497"/>
      <c r="IO87" s="497"/>
      <c r="IP87" s="497"/>
      <c r="IQ87" s="497"/>
      <c r="IR87" s="497"/>
      <c r="IS87" s="497"/>
      <c r="IT87" s="497"/>
      <c r="IU87" s="497"/>
      <c r="IV87" s="497"/>
      <c r="IW87" s="497"/>
    </row>
    <row r="88" spans="1:257" ht="52.9" hidden="1">
      <c r="A88" s="529" t="s">
        <v>207</v>
      </c>
      <c r="B88" s="529" t="s">
        <v>208</v>
      </c>
      <c r="C88" s="529" t="s">
        <v>209</v>
      </c>
      <c r="D88" s="529" t="s">
        <v>210</v>
      </c>
      <c r="E88" s="529"/>
      <c r="F88" s="529" t="s">
        <v>212</v>
      </c>
      <c r="G88" s="529"/>
      <c r="H88" s="529" t="s">
        <v>309</v>
      </c>
      <c r="I88" s="530"/>
      <c r="J88" s="531" t="s">
        <v>310</v>
      </c>
      <c r="K88" s="531" t="s">
        <v>53</v>
      </c>
      <c r="L88" s="531" t="s">
        <v>311</v>
      </c>
      <c r="M88" s="497"/>
      <c r="O88" s="497"/>
      <c r="Q88" s="497"/>
      <c r="AZ88" s="497"/>
      <c r="BA88" s="497"/>
      <c r="BB88" s="497"/>
      <c r="BC88" s="497"/>
      <c r="BD88" s="497"/>
      <c r="BE88" s="497"/>
      <c r="BF88" s="497"/>
      <c r="BG88" s="497"/>
      <c r="BH88" s="497"/>
      <c r="BI88" s="497"/>
      <c r="BJ88" s="497"/>
      <c r="BK88" s="497"/>
      <c r="BL88" s="497"/>
      <c r="BM88" s="497"/>
      <c r="BN88" s="497"/>
      <c r="BO88" s="497"/>
      <c r="BP88" s="497"/>
      <c r="BQ88" s="497"/>
      <c r="BR88" s="497"/>
      <c r="BS88" s="497"/>
      <c r="BT88" s="497"/>
      <c r="BU88" s="497"/>
      <c r="BV88" s="497"/>
      <c r="BW88" s="497"/>
      <c r="BX88" s="497"/>
      <c r="BY88" s="497"/>
      <c r="BZ88" s="497"/>
      <c r="CA88" s="497"/>
      <c r="CB88" s="497"/>
      <c r="CC88" s="497"/>
      <c r="CD88" s="497"/>
      <c r="CE88" s="497"/>
      <c r="CF88" s="497"/>
      <c r="CG88" s="497"/>
      <c r="CH88" s="497"/>
      <c r="CI88" s="497"/>
      <c r="CJ88" s="497"/>
      <c r="CK88" s="497"/>
      <c r="CL88" s="497"/>
      <c r="CM88" s="497"/>
      <c r="CN88" s="497"/>
      <c r="CO88" s="497"/>
      <c r="CP88" s="497"/>
      <c r="CQ88" s="497"/>
      <c r="CR88" s="497"/>
      <c r="CS88" s="497"/>
      <c r="CT88" s="497"/>
      <c r="CU88" s="497"/>
      <c r="CV88" s="497"/>
      <c r="CW88" s="497"/>
      <c r="CX88" s="497"/>
      <c r="CY88" s="497"/>
      <c r="CZ88" s="497"/>
      <c r="DA88" s="497"/>
      <c r="DB88" s="497"/>
      <c r="DC88" s="497"/>
      <c r="DD88" s="497"/>
      <c r="DE88" s="497"/>
      <c r="DF88" s="497"/>
      <c r="DG88" s="497"/>
      <c r="DH88" s="497"/>
      <c r="DI88" s="497"/>
      <c r="DJ88" s="497"/>
      <c r="DK88" s="497"/>
      <c r="DL88" s="497"/>
      <c r="DM88" s="497"/>
      <c r="DN88" s="497"/>
      <c r="DO88" s="497"/>
      <c r="DP88" s="497"/>
      <c r="DQ88" s="497"/>
      <c r="DR88" s="497"/>
      <c r="DS88" s="497"/>
      <c r="DT88" s="497"/>
      <c r="DU88" s="497"/>
      <c r="DV88" s="497"/>
      <c r="DW88" s="497"/>
      <c r="DX88" s="497"/>
      <c r="DY88" s="497"/>
      <c r="DZ88" s="497"/>
      <c r="EA88" s="497"/>
      <c r="EB88" s="497"/>
      <c r="EC88" s="497"/>
      <c r="ED88" s="497"/>
      <c r="EE88" s="497"/>
      <c r="EF88" s="497"/>
      <c r="EG88" s="497"/>
      <c r="EH88" s="497"/>
      <c r="EI88" s="497"/>
      <c r="EJ88" s="497"/>
      <c r="EK88" s="497"/>
      <c r="EL88" s="497"/>
      <c r="EM88" s="497"/>
      <c r="EN88" s="497"/>
      <c r="EO88" s="497"/>
      <c r="EP88" s="497"/>
      <c r="EQ88" s="497"/>
      <c r="ER88" s="497"/>
      <c r="ES88" s="497"/>
      <c r="ET88" s="497"/>
      <c r="EU88" s="497"/>
      <c r="EV88" s="497"/>
      <c r="EW88" s="497"/>
      <c r="EX88" s="497"/>
      <c r="EY88" s="497"/>
      <c r="EZ88" s="497"/>
      <c r="FA88" s="497"/>
      <c r="FB88" s="497"/>
      <c r="FC88" s="497"/>
      <c r="FD88" s="497"/>
      <c r="FE88" s="497"/>
      <c r="FF88" s="497"/>
      <c r="FG88" s="497"/>
      <c r="FH88" s="497"/>
      <c r="FI88" s="497"/>
      <c r="FJ88" s="497"/>
      <c r="FK88" s="497"/>
      <c r="FL88" s="497"/>
      <c r="FM88" s="497"/>
      <c r="FN88" s="497"/>
      <c r="FO88" s="497"/>
      <c r="FP88" s="497"/>
      <c r="FQ88" s="497"/>
      <c r="FR88" s="497"/>
      <c r="FS88" s="497"/>
      <c r="FT88" s="497"/>
      <c r="FU88" s="497"/>
      <c r="FV88" s="497"/>
      <c r="FW88" s="497"/>
      <c r="FX88" s="497"/>
      <c r="FY88" s="497"/>
      <c r="FZ88" s="497"/>
      <c r="GA88" s="497"/>
      <c r="GB88" s="497"/>
      <c r="GC88" s="497"/>
      <c r="GD88" s="497"/>
      <c r="GE88" s="497"/>
      <c r="GF88" s="497"/>
      <c r="GG88" s="497"/>
      <c r="GH88" s="497"/>
      <c r="GI88" s="497"/>
      <c r="GJ88" s="497"/>
      <c r="GK88" s="497"/>
      <c r="GL88" s="497"/>
      <c r="GM88" s="497"/>
      <c r="GN88" s="497"/>
      <c r="GO88" s="497"/>
      <c r="GP88" s="497"/>
      <c r="GQ88" s="497"/>
      <c r="GR88" s="497"/>
      <c r="GS88" s="497"/>
      <c r="GT88" s="497"/>
      <c r="GU88" s="497"/>
      <c r="GV88" s="497"/>
      <c r="GW88" s="497"/>
      <c r="GX88" s="497"/>
      <c r="GY88" s="497"/>
      <c r="GZ88" s="497"/>
      <c r="HA88" s="497"/>
      <c r="HB88" s="497"/>
      <c r="HC88" s="497"/>
      <c r="HD88" s="497"/>
      <c r="HE88" s="497"/>
      <c r="HF88" s="497"/>
      <c r="HG88" s="497"/>
      <c r="HH88" s="497"/>
      <c r="HI88" s="497"/>
      <c r="HJ88" s="497"/>
      <c r="HK88" s="497"/>
      <c r="HL88" s="497"/>
      <c r="HM88" s="497"/>
      <c r="HN88" s="497"/>
      <c r="HO88" s="497"/>
      <c r="HP88" s="497"/>
      <c r="HQ88" s="497"/>
      <c r="HR88" s="497"/>
      <c r="HS88" s="497"/>
      <c r="HT88" s="497"/>
      <c r="HU88" s="497"/>
      <c r="HV88" s="497"/>
      <c r="HW88" s="497"/>
      <c r="HX88" s="497"/>
      <c r="HY88" s="497"/>
      <c r="HZ88" s="497"/>
      <c r="IA88" s="497"/>
      <c r="IB88" s="497"/>
      <c r="IC88" s="497"/>
      <c r="ID88" s="497"/>
      <c r="IE88" s="497"/>
      <c r="IF88" s="497"/>
      <c r="IG88" s="497"/>
      <c r="IH88" s="497"/>
      <c r="II88" s="497"/>
      <c r="IJ88" s="497"/>
      <c r="IK88" s="497"/>
      <c r="IL88" s="497"/>
      <c r="IM88" s="497"/>
      <c r="IN88" s="497"/>
      <c r="IO88" s="497"/>
      <c r="IP88" s="497"/>
      <c r="IQ88" s="497"/>
      <c r="IR88" s="497"/>
      <c r="IS88" s="497"/>
      <c r="IT88" s="497"/>
      <c r="IU88" s="497"/>
      <c r="IV88" s="497"/>
      <c r="IW88" s="497"/>
    </row>
    <row r="89" spans="1:257" s="497" customFormat="1" ht="34.9" hidden="1">
      <c r="D89" s="497">
        <f>365.76/4</f>
        <v>91.44</v>
      </c>
      <c r="H89" s="493">
        <f>SUM(A89:F89)</f>
        <v>91.44</v>
      </c>
      <c r="J89" s="533" t="s">
        <v>391</v>
      </c>
      <c r="K89" s="500">
        <v>43708</v>
      </c>
      <c r="L89" s="503" t="s">
        <v>392</v>
      </c>
      <c r="O89" s="501"/>
      <c r="Q89" s="519"/>
    </row>
    <row r="90" spans="1:257" s="497" customFormat="1" ht="34.9" hidden="1">
      <c r="A90" s="532"/>
      <c r="B90" s="532"/>
      <c r="C90" s="532"/>
      <c r="D90" s="532">
        <v>121</v>
      </c>
      <c r="E90" s="532"/>
      <c r="F90" s="532"/>
      <c r="G90" s="532"/>
      <c r="H90" s="493">
        <f>SUM(A90:F90)</f>
        <v>121</v>
      </c>
      <c r="J90" s="533" t="s">
        <v>391</v>
      </c>
      <c r="K90" s="500">
        <v>43708</v>
      </c>
      <c r="L90" s="503" t="s">
        <v>393</v>
      </c>
      <c r="M90" s="524"/>
      <c r="R90" s="524"/>
    </row>
    <row r="91" spans="1:257" s="497" customFormat="1" ht="34.9" hidden="1" customHeight="1">
      <c r="D91" s="497">
        <f>398.13/7</f>
        <v>56.875714285714288</v>
      </c>
      <c r="H91" s="493">
        <f>SUM(A91:F91)</f>
        <v>56.875714285714288</v>
      </c>
      <c r="J91" s="533" t="s">
        <v>394</v>
      </c>
      <c r="K91" s="500">
        <v>43709</v>
      </c>
      <c r="L91" s="501" t="s">
        <v>395</v>
      </c>
      <c r="O91" s="501"/>
      <c r="Q91" s="519"/>
    </row>
    <row r="92" spans="1:257" s="497" customFormat="1" ht="34.9" hidden="1">
      <c r="D92" s="497">
        <f>850.06/4</f>
        <v>212.51499999999999</v>
      </c>
      <c r="H92" s="493">
        <f t="shared" ref="H92:H93" si="4">SUM(A92:F92)</f>
        <v>212.51499999999999</v>
      </c>
      <c r="J92" s="533" t="s">
        <v>391</v>
      </c>
      <c r="K92" s="500">
        <v>43710</v>
      </c>
      <c r="L92" s="503" t="s">
        <v>396</v>
      </c>
      <c r="O92" s="501"/>
      <c r="Q92" s="519"/>
    </row>
    <row r="93" spans="1:257" s="497" customFormat="1" ht="34.9" hidden="1">
      <c r="D93" s="497">
        <v>88.13</v>
      </c>
      <c r="H93" s="493">
        <f t="shared" si="4"/>
        <v>88.13</v>
      </c>
      <c r="J93" s="533" t="s">
        <v>397</v>
      </c>
      <c r="K93" s="500">
        <v>43856</v>
      </c>
      <c r="L93" s="503" t="s">
        <v>398</v>
      </c>
      <c r="O93" s="501"/>
      <c r="Q93" s="519"/>
    </row>
    <row r="94" spans="1:257" s="497" customFormat="1" ht="34.9" hidden="1">
      <c r="D94" s="497">
        <v>234</v>
      </c>
      <c r="H94" s="493">
        <f>SUM(A94:F94)</f>
        <v>234</v>
      </c>
      <c r="J94" s="533" t="s">
        <v>399</v>
      </c>
      <c r="K94" s="500">
        <v>43879</v>
      </c>
      <c r="L94" s="503" t="s">
        <v>400</v>
      </c>
      <c r="N94" s="493">
        <f>SUM(H94)</f>
        <v>234</v>
      </c>
      <c r="O94" s="501"/>
      <c r="Q94" s="519"/>
    </row>
    <row r="95" spans="1:257" s="497" customFormat="1" ht="17.649999999999999" hidden="1">
      <c r="H95" s="493">
        <f>SUM(A95:F95)</f>
        <v>0</v>
      </c>
      <c r="J95" s="533"/>
      <c r="K95" s="500"/>
      <c r="L95" s="501"/>
      <c r="O95" s="501"/>
      <c r="Q95" s="519"/>
    </row>
    <row r="96" spans="1:257" s="497" customFormat="1" ht="18" hidden="1" customHeight="1" thickBot="1">
      <c r="A96" s="535">
        <f>SUM(A89:A95)</f>
        <v>0</v>
      </c>
      <c r="B96" s="535">
        <f>SUM(B89:B95)</f>
        <v>0</v>
      </c>
      <c r="C96" s="535">
        <f>SUM(C89:C95)</f>
        <v>0</v>
      </c>
      <c r="D96" s="535">
        <f>SUM(D89:D95)</f>
        <v>803.96071428571429</v>
      </c>
      <c r="E96" s="535"/>
      <c r="F96" s="535">
        <f>SUM(F89:F95)</f>
        <v>0</v>
      </c>
      <c r="G96" s="535"/>
      <c r="H96" s="535">
        <f>SUM(H89:H95)</f>
        <v>803.96071428571429</v>
      </c>
      <c r="I96" s="530"/>
      <c r="J96" s="499"/>
      <c r="K96" s="500"/>
    </row>
    <row r="97" spans="1:17" s="497" customFormat="1" hidden="1">
      <c r="J97" s="499"/>
      <c r="K97" s="500"/>
      <c r="L97" s="501"/>
      <c r="O97" s="501"/>
      <c r="Q97" s="519"/>
    </row>
    <row r="98" spans="1:17" s="497" customFormat="1" hidden="1">
      <c r="J98" s="499"/>
      <c r="K98" s="500"/>
      <c r="L98" s="501"/>
      <c r="O98" s="501"/>
      <c r="Q98" s="519"/>
    </row>
    <row r="99" spans="1:17" s="497" customFormat="1" hidden="1">
      <c r="J99" s="499"/>
      <c r="K99" s="500"/>
      <c r="L99" s="501"/>
      <c r="O99" s="501"/>
      <c r="Q99" s="519"/>
    </row>
    <row r="100" spans="1:17" ht="17.649999999999999" hidden="1">
      <c r="A100" s="539" t="s">
        <v>299</v>
      </c>
      <c r="B100" s="539"/>
      <c r="C100" s="539"/>
      <c r="D100" s="539"/>
      <c r="E100" s="539"/>
      <c r="F100" s="497"/>
      <c r="G100" s="497"/>
      <c r="H100" s="493"/>
      <c r="I100" s="497"/>
      <c r="J100" s="499"/>
      <c r="K100" s="500"/>
      <c r="L100" s="497"/>
    </row>
    <row r="101" spans="1:17" ht="17.649999999999999" hidden="1">
      <c r="A101" s="540" t="s">
        <v>301</v>
      </c>
      <c r="B101" s="539"/>
      <c r="C101" s="539"/>
      <c r="D101" s="540"/>
      <c r="E101" s="540"/>
      <c r="F101" s="497"/>
      <c r="G101" s="493"/>
      <c r="H101" s="493"/>
      <c r="I101" s="493"/>
      <c r="J101" s="494"/>
      <c r="K101" s="495"/>
      <c r="L101" s="493"/>
    </row>
    <row r="102" spans="1:17" ht="17.649999999999999" hidden="1">
      <c r="A102" s="539" t="s">
        <v>401</v>
      </c>
      <c r="B102" s="539"/>
      <c r="C102" s="539"/>
      <c r="D102" s="539"/>
      <c r="E102" s="539"/>
      <c r="F102" s="497"/>
      <c r="G102" s="493"/>
      <c r="H102" s="493"/>
      <c r="I102" s="493"/>
      <c r="J102" s="494"/>
      <c r="K102" s="495"/>
      <c r="L102" s="493"/>
    </row>
    <row r="103" spans="1:17" ht="17.649999999999999" hidden="1">
      <c r="A103" s="493"/>
      <c r="B103" s="493"/>
      <c r="C103" s="493"/>
      <c r="D103" s="493"/>
      <c r="E103" s="493"/>
      <c r="F103" s="493"/>
      <c r="G103" s="493"/>
      <c r="H103" s="493"/>
      <c r="I103" s="493"/>
      <c r="J103" s="494"/>
      <c r="K103" s="495"/>
      <c r="L103" s="493"/>
    </row>
    <row r="104" spans="1:17" ht="17.649999999999999" hidden="1">
      <c r="A104" s="497" t="s">
        <v>372</v>
      </c>
      <c r="B104" s="497"/>
      <c r="C104" s="502">
        <f>'SUMMARY 2021-22'!$C$2</f>
        <v>44651</v>
      </c>
      <c r="D104" s="493"/>
      <c r="E104" s="493"/>
      <c r="F104" s="493"/>
      <c r="G104" s="493"/>
      <c r="H104" s="493"/>
      <c r="I104" s="493"/>
      <c r="J104" s="494"/>
      <c r="K104" s="495"/>
      <c r="L104" s="493"/>
    </row>
    <row r="105" spans="1:17" ht="17.25" hidden="1" customHeight="1">
      <c r="A105" s="558" t="s">
        <v>308</v>
      </c>
      <c r="B105" s="558"/>
      <c r="C105" s="558"/>
      <c r="D105" s="558"/>
      <c r="E105" s="558"/>
      <c r="F105" s="558"/>
      <c r="G105" s="558"/>
      <c r="H105" s="558"/>
      <c r="I105" s="558"/>
      <c r="J105" s="558"/>
      <c r="K105" s="558"/>
      <c r="L105" s="558"/>
    </row>
    <row r="106" spans="1:17" ht="17.649999999999999" hidden="1">
      <c r="A106" s="493"/>
      <c r="B106" s="493"/>
      <c r="C106" s="493"/>
      <c r="D106" s="493"/>
      <c r="E106" s="493"/>
      <c r="F106" s="493"/>
      <c r="G106" s="493"/>
      <c r="H106" s="493"/>
      <c r="I106" s="493"/>
      <c r="J106" s="494"/>
      <c r="K106" s="495"/>
      <c r="L106" s="493"/>
    </row>
    <row r="107" spans="1:17" ht="52.9" hidden="1">
      <c r="A107" s="529" t="s">
        <v>207</v>
      </c>
      <c r="B107" s="529" t="s">
        <v>208</v>
      </c>
      <c r="C107" s="529" t="s">
        <v>209</v>
      </c>
      <c r="D107" s="529" t="s">
        <v>210</v>
      </c>
      <c r="E107" s="529"/>
      <c r="F107" s="529" t="s">
        <v>212</v>
      </c>
      <c r="G107" s="529"/>
      <c r="H107" s="529" t="s">
        <v>309</v>
      </c>
      <c r="I107" s="530"/>
      <c r="J107" s="531" t="s">
        <v>310</v>
      </c>
      <c r="K107" s="531" t="s">
        <v>53</v>
      </c>
      <c r="L107" s="531" t="s">
        <v>311</v>
      </c>
    </row>
    <row r="108" spans="1:17" ht="17.649999999999999" hidden="1">
      <c r="A108" s="497"/>
      <c r="B108" s="497"/>
      <c r="C108" s="497"/>
      <c r="D108" s="497"/>
      <c r="E108" s="497"/>
      <c r="F108" s="497"/>
      <c r="G108" s="497"/>
      <c r="H108" s="493">
        <f>SUM(A108:F108)</f>
        <v>0</v>
      </c>
      <c r="I108" s="497"/>
      <c r="J108" s="533"/>
      <c r="K108" s="500"/>
      <c r="L108" s="503"/>
    </row>
    <row r="109" spans="1:17" ht="17.649999999999999" hidden="1">
      <c r="A109" s="532"/>
      <c r="B109" s="532"/>
      <c r="C109" s="532"/>
      <c r="D109" s="532"/>
      <c r="E109" s="532"/>
      <c r="F109" s="532"/>
      <c r="G109" s="532"/>
      <c r="H109" s="493">
        <f>SUM(A109:F109)</f>
        <v>0</v>
      </c>
      <c r="I109" s="497"/>
      <c r="J109" s="533"/>
      <c r="K109" s="500"/>
      <c r="L109" s="503"/>
    </row>
    <row r="110" spans="1:17" ht="17.649999999999999" hidden="1">
      <c r="A110" s="497"/>
      <c r="B110" s="497"/>
      <c r="C110" s="497"/>
      <c r="D110" s="497"/>
      <c r="E110" s="497"/>
      <c r="F110" s="497"/>
      <c r="G110" s="497"/>
      <c r="H110" s="493">
        <f>SUM(A110:F110)</f>
        <v>0</v>
      </c>
      <c r="I110" s="497"/>
      <c r="J110" s="533"/>
      <c r="K110" s="500"/>
      <c r="L110" s="501"/>
    </row>
    <row r="111" spans="1:17" ht="17.649999999999999" hidden="1">
      <c r="A111" s="497"/>
      <c r="B111" s="497"/>
      <c r="C111" s="497"/>
      <c r="D111" s="497"/>
      <c r="E111" s="497"/>
      <c r="F111" s="497"/>
      <c r="G111" s="497"/>
      <c r="H111" s="493">
        <f t="shared" ref="H111:H112" si="5">SUM(A111:F111)</f>
        <v>0</v>
      </c>
      <c r="I111" s="497"/>
      <c r="J111" s="533"/>
      <c r="K111" s="500"/>
      <c r="L111" s="503"/>
    </row>
    <row r="112" spans="1:17" ht="17.649999999999999" hidden="1">
      <c r="A112" s="497"/>
      <c r="B112" s="497"/>
      <c r="C112" s="497"/>
      <c r="D112" s="497"/>
      <c r="E112" s="497"/>
      <c r="F112" s="497"/>
      <c r="G112" s="497"/>
      <c r="H112" s="493">
        <f t="shared" si="5"/>
        <v>0</v>
      </c>
      <c r="I112" s="497"/>
      <c r="J112" s="533"/>
      <c r="K112" s="500"/>
      <c r="L112" s="503"/>
    </row>
    <row r="113" spans="1:15" ht="17.649999999999999" hidden="1">
      <c r="A113" s="497"/>
      <c r="B113" s="497"/>
      <c r="C113" s="497"/>
      <c r="D113" s="497"/>
      <c r="E113" s="497"/>
      <c r="F113" s="497"/>
      <c r="G113" s="497"/>
      <c r="H113" s="493">
        <f>SUM(A113:F113)</f>
        <v>0</v>
      </c>
      <c r="I113" s="497"/>
      <c r="J113" s="533"/>
      <c r="K113" s="500"/>
      <c r="L113" s="501"/>
    </row>
    <row r="114" spans="1:15" ht="18" hidden="1" thickBot="1">
      <c r="A114" s="535">
        <f>SUM(A108:A113)</f>
        <v>0</v>
      </c>
      <c r="B114" s="535">
        <f>SUM(B108:B113)</f>
        <v>0</v>
      </c>
      <c r="C114" s="535">
        <f>SUM(C108:C113)</f>
        <v>0</v>
      </c>
      <c r="D114" s="535">
        <f>SUM(D108:D113)</f>
        <v>0</v>
      </c>
      <c r="E114" s="535"/>
      <c r="F114" s="535">
        <f>SUM(F108:F113)</f>
        <v>0</v>
      </c>
      <c r="G114" s="535"/>
      <c r="H114" s="535">
        <f>SUM(H108:H113)</f>
        <v>0</v>
      </c>
      <c r="I114" s="530"/>
      <c r="J114" s="499"/>
      <c r="K114" s="500"/>
      <c r="L114" s="497"/>
    </row>
    <row r="115" spans="1:15" hidden="1">
      <c r="A115" s="497"/>
      <c r="B115" s="497"/>
      <c r="C115" s="497"/>
      <c r="D115" s="497"/>
      <c r="E115" s="497"/>
      <c r="F115" s="497"/>
      <c r="G115" s="497"/>
      <c r="H115" s="497"/>
      <c r="I115" s="497"/>
      <c r="J115" s="499"/>
      <c r="K115" s="500"/>
      <c r="L115" s="501"/>
    </row>
    <row r="116" spans="1:15" hidden="1">
      <c r="A116" s="497"/>
      <c r="B116" s="497"/>
      <c r="C116" s="497"/>
      <c r="D116" s="497"/>
      <c r="E116" s="497"/>
      <c r="F116" s="497"/>
      <c r="G116" s="497"/>
      <c r="H116" s="497"/>
      <c r="I116" s="497"/>
      <c r="J116" s="499"/>
      <c r="K116" s="500"/>
      <c r="L116" s="501"/>
    </row>
    <row r="117" spans="1:15" ht="17.649999999999999" hidden="1">
      <c r="A117" s="541" t="s">
        <v>299</v>
      </c>
      <c r="B117" s="541"/>
      <c r="C117" s="541"/>
      <c r="D117" s="541"/>
      <c r="E117" s="541"/>
      <c r="F117" s="497"/>
      <c r="G117" s="497"/>
      <c r="H117" s="493"/>
      <c r="I117" s="497"/>
      <c r="J117" s="499"/>
      <c r="K117" s="500"/>
      <c r="L117" s="497"/>
    </row>
    <row r="118" spans="1:15" ht="17.649999999999999" hidden="1">
      <c r="A118" s="542" t="s">
        <v>301</v>
      </c>
      <c r="B118" s="541"/>
      <c r="C118" s="541"/>
      <c r="D118" s="542"/>
      <c r="E118" s="542"/>
      <c r="F118" s="497"/>
      <c r="G118" s="493"/>
      <c r="H118" s="493"/>
      <c r="I118" s="493"/>
      <c r="J118" s="494"/>
      <c r="K118" s="495"/>
      <c r="L118" s="493"/>
    </row>
    <row r="119" spans="1:15" ht="17.649999999999999" hidden="1">
      <c r="A119" s="541" t="s">
        <v>402</v>
      </c>
      <c r="B119" s="541"/>
      <c r="C119" s="541"/>
      <c r="D119" s="541"/>
      <c r="E119" s="541"/>
      <c r="F119" s="497"/>
      <c r="G119" s="493"/>
      <c r="H119" s="493"/>
      <c r="I119" s="493"/>
      <c r="J119" s="494"/>
      <c r="K119" s="495"/>
      <c r="L119" s="493"/>
    </row>
    <row r="120" spans="1:15" ht="17.649999999999999" hidden="1">
      <c r="A120" s="493"/>
      <c r="B120" s="493"/>
      <c r="C120" s="493"/>
      <c r="D120" s="493"/>
      <c r="E120" s="493"/>
      <c r="F120" s="493"/>
      <c r="G120" s="493"/>
      <c r="H120" s="493"/>
      <c r="I120" s="493"/>
      <c r="J120" s="494"/>
      <c r="K120" s="495"/>
      <c r="L120" s="493"/>
    </row>
    <row r="121" spans="1:15" ht="17.649999999999999" hidden="1">
      <c r="A121" s="497" t="s">
        <v>372</v>
      </c>
      <c r="B121" s="497"/>
      <c r="C121" s="502">
        <f>'SUMMARY 2021-22'!$C$2</f>
        <v>44651</v>
      </c>
      <c r="D121" s="493"/>
      <c r="E121" s="493"/>
      <c r="F121" s="493"/>
      <c r="G121" s="493"/>
      <c r="H121" s="493"/>
      <c r="I121" s="493"/>
      <c r="J121" s="494"/>
      <c r="K121" s="495"/>
      <c r="L121" s="493"/>
    </row>
    <row r="122" spans="1:15" ht="17.25" hidden="1" customHeight="1">
      <c r="A122" s="558" t="s">
        <v>308</v>
      </c>
      <c r="B122" s="558"/>
      <c r="C122" s="558"/>
      <c r="D122" s="558"/>
      <c r="E122" s="558"/>
      <c r="F122" s="558"/>
      <c r="G122" s="558"/>
      <c r="H122" s="558"/>
      <c r="I122" s="558"/>
      <c r="J122" s="558"/>
      <c r="K122" s="558"/>
      <c r="L122" s="558"/>
    </row>
    <row r="123" spans="1:15" ht="17.649999999999999" hidden="1">
      <c r="A123" s="493"/>
      <c r="B123" s="493"/>
      <c r="C123" s="493"/>
      <c r="D123" s="493"/>
      <c r="E123" s="493"/>
      <c r="F123" s="493"/>
      <c r="G123" s="493"/>
      <c r="H123" s="493"/>
      <c r="I123" s="493"/>
      <c r="J123" s="494"/>
      <c r="K123" s="495"/>
      <c r="L123" s="493"/>
    </row>
    <row r="124" spans="1:15" ht="52.9" hidden="1">
      <c r="A124" s="529" t="s">
        <v>207</v>
      </c>
      <c r="B124" s="529" t="s">
        <v>208</v>
      </c>
      <c r="C124" s="529" t="s">
        <v>209</v>
      </c>
      <c r="D124" s="529" t="s">
        <v>210</v>
      </c>
      <c r="E124" s="529" t="s">
        <v>211</v>
      </c>
      <c r="F124" s="529" t="s">
        <v>212</v>
      </c>
      <c r="G124" s="529"/>
      <c r="H124" s="529" t="s">
        <v>309</v>
      </c>
      <c r="I124" s="530"/>
      <c r="J124" s="531" t="s">
        <v>310</v>
      </c>
      <c r="K124" s="531" t="s">
        <v>53</v>
      </c>
      <c r="L124" s="531" t="s">
        <v>311</v>
      </c>
    </row>
    <row r="125" spans="1:15" ht="34.9" hidden="1" customHeight="1">
      <c r="A125" s="497"/>
      <c r="B125" s="497"/>
      <c r="C125" s="497">
        <f>784.8/4</f>
        <v>196.2</v>
      </c>
      <c r="D125" s="497"/>
      <c r="E125" s="497"/>
      <c r="F125" s="497"/>
      <c r="G125" s="497"/>
      <c r="H125" s="493">
        <f>SUM(A125:F125)</f>
        <v>196.2</v>
      </c>
      <c r="I125" s="497"/>
      <c r="J125" s="533" t="s">
        <v>403</v>
      </c>
      <c r="K125" s="500">
        <v>44335</v>
      </c>
      <c r="L125" s="503" t="s">
        <v>404</v>
      </c>
    </row>
    <row r="126" spans="1:15" ht="34.9" hidden="1" customHeight="1">
      <c r="A126" s="532"/>
      <c r="B126" s="532"/>
      <c r="C126" s="532">
        <f>312.3/3</f>
        <v>104.10000000000001</v>
      </c>
      <c r="D126" s="532"/>
      <c r="E126" s="532"/>
      <c r="F126" s="532"/>
      <c r="G126" s="532"/>
      <c r="H126" s="493">
        <f>SUM(A126:F126)</f>
        <v>104.10000000000001</v>
      </c>
      <c r="I126" s="497"/>
      <c r="J126" s="533" t="s">
        <v>403</v>
      </c>
      <c r="K126" s="500">
        <v>44335</v>
      </c>
      <c r="L126" s="503" t="s">
        <v>405</v>
      </c>
    </row>
    <row r="127" spans="1:15" ht="34.9" hidden="1" customHeight="1">
      <c r="A127" s="497"/>
      <c r="B127" s="497"/>
      <c r="C127" s="497">
        <f>342.13/4</f>
        <v>85.532499999999999</v>
      </c>
      <c r="D127" s="497"/>
      <c r="E127" s="497"/>
      <c r="F127" s="497"/>
      <c r="G127" s="497"/>
      <c r="H127" s="493">
        <f>SUM(A127:F127)</f>
        <v>85.532499999999999</v>
      </c>
      <c r="I127" s="497"/>
      <c r="J127" s="533" t="s">
        <v>406</v>
      </c>
      <c r="K127" s="500">
        <v>44421</v>
      </c>
      <c r="L127" s="543" t="s">
        <v>407</v>
      </c>
      <c r="O127" s="544" t="s">
        <v>408</v>
      </c>
    </row>
    <row r="128" spans="1:15" ht="34.9" hidden="1" customHeight="1">
      <c r="A128" s="497"/>
      <c r="B128" s="497"/>
      <c r="C128" s="497">
        <v>57.22</v>
      </c>
      <c r="D128" s="497"/>
      <c r="E128" s="497"/>
      <c r="F128" s="497"/>
      <c r="G128" s="497"/>
      <c r="H128" s="493">
        <f t="shared" ref="H128:H136" si="6">SUM(A128:F128)</f>
        <v>57.22</v>
      </c>
      <c r="I128" s="497"/>
      <c r="J128" s="533" t="s">
        <v>409</v>
      </c>
      <c r="K128" s="500">
        <v>44484</v>
      </c>
      <c r="L128" s="503" t="s">
        <v>410</v>
      </c>
      <c r="O128" s="544" t="s">
        <v>411</v>
      </c>
    </row>
    <row r="129" spans="1:17" ht="34.9" hidden="1" customHeight="1">
      <c r="A129" s="497"/>
      <c r="B129" s="497"/>
      <c r="C129" s="497">
        <v>63.95</v>
      </c>
      <c r="D129" s="497"/>
      <c r="E129" s="497"/>
      <c r="F129" s="497"/>
      <c r="G129" s="497"/>
      <c r="H129" s="493">
        <f t="shared" si="6"/>
        <v>63.95</v>
      </c>
      <c r="I129" s="497"/>
      <c r="J129" s="533" t="s">
        <v>412</v>
      </c>
      <c r="K129" s="500">
        <v>44501</v>
      </c>
      <c r="L129" s="503" t="s">
        <v>413</v>
      </c>
      <c r="O129" s="545">
        <f>383.7/6</f>
        <v>63.949999999999996</v>
      </c>
    </row>
    <row r="130" spans="1:17" ht="34.9" hidden="1" customHeight="1">
      <c r="A130" s="497"/>
      <c r="B130" s="497"/>
      <c r="C130" s="497"/>
      <c r="D130" s="497"/>
      <c r="E130" s="497"/>
      <c r="F130" s="497">
        <v>27.99</v>
      </c>
      <c r="G130" s="497"/>
      <c r="H130" s="493">
        <f t="shared" si="6"/>
        <v>27.99</v>
      </c>
      <c r="I130" s="497"/>
      <c r="J130" s="533" t="s">
        <v>414</v>
      </c>
      <c r="K130" s="500">
        <v>44502</v>
      </c>
      <c r="L130" s="503" t="s">
        <v>415</v>
      </c>
      <c r="O130" s="545">
        <f>251.91/9</f>
        <v>27.99</v>
      </c>
    </row>
    <row r="131" spans="1:17" ht="34.9" hidden="1" customHeight="1">
      <c r="A131" s="497"/>
      <c r="B131" s="497"/>
      <c r="C131" s="497">
        <v>63.2</v>
      </c>
      <c r="D131" s="497"/>
      <c r="E131" s="497"/>
      <c r="F131" s="497"/>
      <c r="G131" s="497"/>
      <c r="H131" s="493">
        <f t="shared" si="6"/>
        <v>63.2</v>
      </c>
      <c r="I131" s="497"/>
      <c r="J131" s="533" t="s">
        <v>414</v>
      </c>
      <c r="K131" s="500">
        <v>44510</v>
      </c>
      <c r="L131" s="503" t="s">
        <v>416</v>
      </c>
      <c r="O131" s="545">
        <f>316/5</f>
        <v>63.2</v>
      </c>
    </row>
    <row r="132" spans="1:17" ht="34.9" hidden="1" customHeight="1">
      <c r="A132" s="497"/>
      <c r="B132" s="497"/>
      <c r="C132" s="497">
        <v>108.5</v>
      </c>
      <c r="D132" s="497"/>
      <c r="E132" s="497"/>
      <c r="F132" s="497"/>
      <c r="G132" s="497"/>
      <c r="H132" s="493">
        <f t="shared" si="6"/>
        <v>108.5</v>
      </c>
      <c r="I132" s="497"/>
      <c r="J132" s="533" t="s">
        <v>414</v>
      </c>
      <c r="K132" s="500">
        <v>44511</v>
      </c>
      <c r="L132" s="503" t="s">
        <v>417</v>
      </c>
      <c r="O132" s="545">
        <f>542.5/5</f>
        <v>108.5</v>
      </c>
    </row>
    <row r="133" spans="1:17" ht="34.9" hidden="1" customHeight="1">
      <c r="A133" s="497"/>
      <c r="B133" s="497"/>
      <c r="C133" s="497">
        <v>100.39</v>
      </c>
      <c r="D133" s="497"/>
      <c r="E133" s="497"/>
      <c r="F133" s="497"/>
      <c r="G133" s="497"/>
      <c r="H133" s="493">
        <f t="shared" si="6"/>
        <v>100.39</v>
      </c>
      <c r="I133" s="497"/>
      <c r="J133" s="533" t="s">
        <v>418</v>
      </c>
      <c r="K133" s="500">
        <v>44627</v>
      </c>
      <c r="L133" s="546" t="s">
        <v>419</v>
      </c>
    </row>
    <row r="134" spans="1:17" ht="34.9" hidden="1" customHeight="1">
      <c r="A134" s="497"/>
      <c r="B134" s="497"/>
      <c r="C134" s="497">
        <v>156.41999999999999</v>
      </c>
      <c r="D134" s="497"/>
      <c r="E134" s="497"/>
      <c r="F134" s="497"/>
      <c r="G134" s="497"/>
      <c r="H134" s="493">
        <f t="shared" si="6"/>
        <v>156.41999999999999</v>
      </c>
      <c r="I134" s="497"/>
      <c r="J134" s="533" t="s">
        <v>420</v>
      </c>
      <c r="K134" s="500">
        <v>44641</v>
      </c>
      <c r="L134" s="546" t="s">
        <v>421</v>
      </c>
    </row>
    <row r="135" spans="1:17" ht="17.649999999999999" hidden="1" customHeight="1">
      <c r="A135" s="497"/>
      <c r="B135" s="497"/>
      <c r="C135" s="497"/>
      <c r="D135" s="497"/>
      <c r="E135" s="497"/>
      <c r="F135" s="497"/>
      <c r="G135" s="497"/>
      <c r="H135" s="493">
        <f t="shared" si="6"/>
        <v>0</v>
      </c>
      <c r="I135" s="497"/>
      <c r="J135" s="533"/>
      <c r="K135" s="500"/>
      <c r="L135" s="503"/>
    </row>
    <row r="136" spans="1:17" ht="17.649999999999999" hidden="1" customHeight="1">
      <c r="A136" s="497"/>
      <c r="B136" s="497"/>
      <c r="C136" s="497"/>
      <c r="D136" s="497"/>
      <c r="E136" s="497"/>
      <c r="F136" s="497"/>
      <c r="G136" s="497"/>
      <c r="H136" s="493">
        <f t="shared" si="6"/>
        <v>0</v>
      </c>
      <c r="I136" s="497"/>
      <c r="J136" s="533"/>
      <c r="K136" s="500"/>
      <c r="L136" s="503"/>
    </row>
    <row r="137" spans="1:17" ht="17.649999999999999" hidden="1" customHeight="1">
      <c r="A137" s="497"/>
      <c r="B137" s="497"/>
      <c r="C137" s="497"/>
      <c r="D137" s="497"/>
      <c r="E137" s="497"/>
      <c r="F137" s="497"/>
      <c r="G137" s="497"/>
      <c r="H137" s="493">
        <f>SUM(A137:F137)</f>
        <v>0</v>
      </c>
      <c r="I137" s="497"/>
      <c r="J137" s="533"/>
      <c r="K137" s="500"/>
      <c r="L137" s="501"/>
    </row>
    <row r="138" spans="1:17" ht="18" hidden="1" customHeight="1" thickBot="1">
      <c r="A138" s="535">
        <f t="shared" ref="A138:F138" si="7">SUM(A125:A137)</f>
        <v>0</v>
      </c>
      <c r="B138" s="535">
        <f t="shared" si="7"/>
        <v>0</v>
      </c>
      <c r="C138" s="535">
        <f t="shared" si="7"/>
        <v>935.51249999999993</v>
      </c>
      <c r="D138" s="535">
        <f t="shared" si="7"/>
        <v>0</v>
      </c>
      <c r="E138" s="535">
        <f t="shared" si="7"/>
        <v>0</v>
      </c>
      <c r="F138" s="535">
        <f t="shared" si="7"/>
        <v>27.99</v>
      </c>
      <c r="G138" s="535"/>
      <c r="H138" s="535">
        <f>SUM(H125:H137)</f>
        <v>963.50249999999994</v>
      </c>
      <c r="I138" s="530"/>
      <c r="J138" s="499"/>
      <c r="K138" s="500"/>
      <c r="L138" s="497"/>
    </row>
    <row r="139" spans="1:17" s="497" customFormat="1">
      <c r="J139" s="499"/>
      <c r="K139" s="500"/>
      <c r="L139" s="501"/>
      <c r="O139" s="501"/>
      <c r="Q139" s="519"/>
    </row>
    <row r="140" spans="1:17" s="497" customFormat="1">
      <c r="J140" s="499"/>
      <c r="K140" s="500"/>
      <c r="L140" s="501"/>
      <c r="O140" s="501"/>
      <c r="Q140" s="519"/>
    </row>
    <row r="141" spans="1:17" ht="17.649999999999999">
      <c r="A141" s="547" t="s">
        <v>299</v>
      </c>
      <c r="B141" s="547"/>
      <c r="C141" s="547"/>
      <c r="D141" s="547"/>
      <c r="E141" s="547"/>
      <c r="F141" s="497"/>
      <c r="G141" s="497"/>
      <c r="H141" s="493"/>
      <c r="I141" s="497"/>
      <c r="J141" s="499"/>
      <c r="K141" s="500"/>
      <c r="L141" s="497"/>
    </row>
    <row r="142" spans="1:17" ht="17.649999999999999">
      <c r="A142" s="548" t="s">
        <v>301</v>
      </c>
      <c r="B142" s="547"/>
      <c r="C142" s="547"/>
      <c r="D142" s="548"/>
      <c r="E142" s="548"/>
      <c r="F142" s="497"/>
      <c r="G142" s="493"/>
      <c r="H142" s="493"/>
      <c r="I142" s="493"/>
      <c r="J142" s="494"/>
      <c r="K142" s="495"/>
      <c r="L142" s="493"/>
    </row>
    <row r="143" spans="1:17" ht="17.649999999999999">
      <c r="A143" s="547" t="s">
        <v>422</v>
      </c>
      <c r="B143" s="547"/>
      <c r="C143" s="547"/>
      <c r="D143" s="547"/>
      <c r="E143" s="547"/>
      <c r="F143" s="497"/>
      <c r="G143" s="493"/>
      <c r="H143" s="493"/>
      <c r="I143" s="493"/>
      <c r="J143" s="494"/>
      <c r="K143" s="495"/>
      <c r="L143" s="493"/>
    </row>
    <row r="144" spans="1:17" ht="17.649999999999999">
      <c r="A144" s="493"/>
      <c r="B144" s="493"/>
      <c r="C144" s="493"/>
      <c r="D144" s="493"/>
      <c r="E144" s="493"/>
      <c r="F144" s="493"/>
      <c r="G144" s="493"/>
      <c r="H144" s="493"/>
      <c r="I144" s="493"/>
      <c r="J144" s="494"/>
      <c r="K144" s="495"/>
      <c r="L144" s="493"/>
    </row>
    <row r="145" spans="1:17" ht="17.649999999999999">
      <c r="A145" s="497" t="s">
        <v>372</v>
      </c>
      <c r="B145" s="497"/>
      <c r="C145" s="502">
        <v>45016</v>
      </c>
      <c r="D145" s="493"/>
      <c r="E145" s="493"/>
      <c r="F145" s="493"/>
      <c r="G145" s="493"/>
      <c r="H145" s="493"/>
      <c r="I145" s="493"/>
      <c r="J145" s="494"/>
      <c r="K145" s="495"/>
      <c r="L145" s="493"/>
    </row>
    <row r="146" spans="1:17" ht="33" customHeight="1">
      <c r="A146" s="499" t="s">
        <v>308</v>
      </c>
      <c r="B146" s="499"/>
      <c r="C146" s="499"/>
      <c r="D146" s="499"/>
      <c r="E146" s="499"/>
      <c r="F146" s="499"/>
      <c r="G146" s="499"/>
      <c r="H146" s="499"/>
      <c r="I146" s="499"/>
      <c r="J146" s="499"/>
      <c r="K146" s="499"/>
      <c r="L146" s="499"/>
    </row>
    <row r="147" spans="1:17" ht="17.649999999999999">
      <c r="A147" s="493"/>
      <c r="B147" s="493"/>
      <c r="C147" s="493"/>
      <c r="D147" s="493"/>
      <c r="E147" s="493"/>
      <c r="F147" s="493"/>
      <c r="G147" s="493"/>
      <c r="H147" s="493"/>
      <c r="I147" s="493"/>
      <c r="J147" s="494"/>
      <c r="K147" s="495"/>
      <c r="L147" s="493"/>
    </row>
    <row r="148" spans="1:17" ht="52.9">
      <c r="A148" s="529" t="s">
        <v>207</v>
      </c>
      <c r="B148" s="529" t="s">
        <v>208</v>
      </c>
      <c r="C148" s="529" t="s">
        <v>209</v>
      </c>
      <c r="D148" s="529" t="s">
        <v>210</v>
      </c>
      <c r="E148" s="529" t="s">
        <v>211</v>
      </c>
      <c r="F148" s="529" t="s">
        <v>212</v>
      </c>
      <c r="G148" s="529"/>
      <c r="H148" s="529" t="s">
        <v>309</v>
      </c>
      <c r="I148" s="530"/>
      <c r="J148" s="531" t="s">
        <v>310</v>
      </c>
      <c r="K148" s="531" t="s">
        <v>53</v>
      </c>
      <c r="L148" s="531" t="s">
        <v>311</v>
      </c>
    </row>
    <row r="149" spans="1:17" ht="36.4" customHeight="1">
      <c r="A149" s="497"/>
      <c r="B149" s="497"/>
      <c r="C149" s="497"/>
      <c r="D149" s="497">
        <f>254.46+0.3</f>
        <v>254.76000000000002</v>
      </c>
      <c r="E149" s="497"/>
      <c r="F149" s="497"/>
      <c r="G149" s="497"/>
      <c r="H149" s="493">
        <f>SUM(A149:F149)</f>
        <v>254.76000000000002</v>
      </c>
      <c r="I149" s="497"/>
      <c r="J149" s="533" t="s">
        <v>423</v>
      </c>
      <c r="K149" s="500">
        <v>44689</v>
      </c>
      <c r="L149" s="503" t="s">
        <v>424</v>
      </c>
    </row>
    <row r="150" spans="1:17" ht="32.25" customHeight="1">
      <c r="A150" s="532"/>
      <c r="B150" s="532"/>
      <c r="C150" s="532"/>
      <c r="D150" s="532"/>
      <c r="E150" s="532">
        <v>236.66</v>
      </c>
      <c r="F150" s="532"/>
      <c r="G150" s="532"/>
      <c r="H150" s="493">
        <f>SUM(A150:F150)</f>
        <v>236.66</v>
      </c>
      <c r="I150" s="497"/>
      <c r="J150" s="533" t="s">
        <v>425</v>
      </c>
      <c r="K150" s="500">
        <v>44688</v>
      </c>
      <c r="L150" s="503" t="s">
        <v>426</v>
      </c>
    </row>
    <row r="151" spans="1:17" ht="32.25" customHeight="1">
      <c r="A151" s="497"/>
      <c r="B151" s="497"/>
      <c r="C151" s="497"/>
      <c r="D151" s="497"/>
      <c r="E151" s="497">
        <v>374.82</v>
      </c>
      <c r="F151" s="497"/>
      <c r="G151" s="497"/>
      <c r="H151" s="493">
        <f>SUM(A151:F151)</f>
        <v>374.82</v>
      </c>
      <c r="I151" s="497"/>
      <c r="J151" s="533" t="s">
        <v>425</v>
      </c>
      <c r="K151" s="500">
        <v>44690</v>
      </c>
      <c r="L151" s="503" t="s">
        <v>427</v>
      </c>
    </row>
    <row r="152" spans="1:17" ht="32.25" customHeight="1">
      <c r="A152" s="497"/>
      <c r="B152" s="497"/>
      <c r="C152" s="497"/>
      <c r="D152" s="497"/>
      <c r="E152" s="497">
        <v>182.71</v>
      </c>
      <c r="F152" s="497"/>
      <c r="G152" s="497"/>
      <c r="H152" s="493">
        <f t="shared" ref="H152:H159" si="8">SUM(A152:F152)</f>
        <v>182.71</v>
      </c>
      <c r="I152" s="497"/>
      <c r="J152" s="533" t="s">
        <v>425</v>
      </c>
      <c r="K152" s="500">
        <v>44692</v>
      </c>
      <c r="L152" s="503" t="s">
        <v>428</v>
      </c>
    </row>
    <row r="153" spans="1:17" s="497" customFormat="1" ht="32.65" customHeight="1">
      <c r="C153" s="497">
        <v>110.32</v>
      </c>
      <c r="H153" s="493">
        <f t="shared" si="8"/>
        <v>110.32</v>
      </c>
      <c r="J153" s="499" t="s">
        <v>429</v>
      </c>
      <c r="K153" s="500">
        <v>44868</v>
      </c>
      <c r="L153" s="501" t="s">
        <v>430</v>
      </c>
      <c r="O153" s="501"/>
      <c r="Q153" s="519"/>
    </row>
    <row r="154" spans="1:17" s="497" customFormat="1" ht="27.6" customHeight="1">
      <c r="H154" s="493">
        <f t="shared" si="8"/>
        <v>0</v>
      </c>
      <c r="J154" s="499"/>
      <c r="K154" s="500"/>
      <c r="L154" s="501"/>
      <c r="O154" s="501"/>
      <c r="Q154" s="519"/>
    </row>
    <row r="155" spans="1:17" ht="17.649999999999999" hidden="1" customHeight="1">
      <c r="A155" s="497"/>
      <c r="B155" s="497"/>
      <c r="C155" s="497"/>
      <c r="D155" s="497"/>
      <c r="E155" s="497"/>
      <c r="F155" s="497"/>
      <c r="G155" s="497"/>
      <c r="H155" s="493">
        <f t="shared" si="8"/>
        <v>0</v>
      </c>
      <c r="I155" s="497"/>
      <c r="J155" s="533"/>
      <c r="K155" s="500"/>
      <c r="L155" s="503"/>
    </row>
    <row r="156" spans="1:17" ht="17.649999999999999" hidden="1" customHeight="1">
      <c r="A156" s="497"/>
      <c r="B156" s="497"/>
      <c r="C156" s="497"/>
      <c r="D156" s="497"/>
      <c r="E156" s="497"/>
      <c r="F156" s="497"/>
      <c r="G156" s="497"/>
      <c r="H156" s="493">
        <f t="shared" si="8"/>
        <v>0</v>
      </c>
      <c r="I156" s="497"/>
      <c r="J156" s="533"/>
      <c r="K156" s="500"/>
      <c r="L156" s="546"/>
    </row>
    <row r="157" spans="1:17" ht="17.649999999999999" hidden="1" customHeight="1">
      <c r="A157" s="497"/>
      <c r="B157" s="497"/>
      <c r="C157" s="497"/>
      <c r="D157" s="497"/>
      <c r="E157" s="497"/>
      <c r="F157" s="497"/>
      <c r="G157" s="497"/>
      <c r="H157" s="493">
        <f t="shared" si="8"/>
        <v>0</v>
      </c>
      <c r="I157" s="497"/>
      <c r="J157" s="533"/>
      <c r="K157" s="500"/>
      <c r="L157" s="546"/>
    </row>
    <row r="158" spans="1:17" ht="17.649999999999999" hidden="1" customHeight="1">
      <c r="A158" s="497"/>
      <c r="B158" s="497"/>
      <c r="C158" s="497"/>
      <c r="D158" s="497"/>
      <c r="E158" s="497"/>
      <c r="F158" s="497"/>
      <c r="G158" s="497"/>
      <c r="H158" s="493">
        <f t="shared" si="8"/>
        <v>0</v>
      </c>
      <c r="I158" s="497"/>
      <c r="J158" s="533"/>
      <c r="K158" s="500"/>
      <c r="L158" s="503"/>
      <c r="O158" s="549"/>
    </row>
    <row r="159" spans="1:17" ht="17.649999999999999" hidden="1" customHeight="1">
      <c r="A159" s="497"/>
      <c r="B159" s="497"/>
      <c r="C159" s="497"/>
      <c r="D159" s="497"/>
      <c r="E159" s="497"/>
      <c r="F159" s="497"/>
      <c r="G159" s="497"/>
      <c r="H159" s="493">
        <f t="shared" si="8"/>
        <v>0</v>
      </c>
      <c r="I159" s="497"/>
      <c r="J159" s="533"/>
      <c r="K159" s="500"/>
      <c r="L159" s="503"/>
    </row>
    <row r="160" spans="1:17" ht="17.649999999999999" hidden="1" customHeight="1">
      <c r="A160" s="497"/>
      <c r="B160" s="497"/>
      <c r="C160" s="497"/>
      <c r="D160" s="497"/>
      <c r="E160" s="497"/>
      <c r="F160" s="497"/>
      <c r="G160" s="497"/>
      <c r="H160" s="493">
        <f>SUM(A160:F160)</f>
        <v>0</v>
      </c>
      <c r="I160" s="497"/>
      <c r="J160" s="533"/>
      <c r="K160" s="500"/>
      <c r="L160" s="501"/>
    </row>
    <row r="161" spans="1:51" ht="18.75" customHeight="1" thickBot="1">
      <c r="A161" s="535">
        <f t="shared" ref="A161:F161" si="9">SUM(A149:A160)</f>
        <v>0</v>
      </c>
      <c r="B161" s="535">
        <f t="shared" si="9"/>
        <v>0</v>
      </c>
      <c r="C161" s="535">
        <f t="shared" si="9"/>
        <v>110.32</v>
      </c>
      <c r="D161" s="535">
        <f t="shared" si="9"/>
        <v>254.76000000000002</v>
      </c>
      <c r="E161" s="535">
        <f t="shared" si="9"/>
        <v>794.19</v>
      </c>
      <c r="F161" s="535">
        <f t="shared" si="9"/>
        <v>0</v>
      </c>
      <c r="G161" s="535"/>
      <c r="H161" s="535">
        <f>SUM(H149:H160)</f>
        <v>1159.27</v>
      </c>
      <c r="I161" s="530"/>
      <c r="J161" s="499"/>
      <c r="K161" s="500"/>
      <c r="L161" s="497"/>
    </row>
    <row r="162" spans="1:51">
      <c r="A162" s="497"/>
      <c r="B162" s="497"/>
      <c r="C162" s="497"/>
      <c r="D162" s="497"/>
      <c r="E162" s="497"/>
      <c r="F162" s="497"/>
      <c r="G162" s="497"/>
      <c r="H162" s="497"/>
      <c r="I162" s="497"/>
      <c r="J162" s="499"/>
      <c r="K162" s="500"/>
      <c r="L162" s="501"/>
    </row>
    <row r="165" spans="1:51" ht="23.65" customHeight="1">
      <c r="A165" s="550" t="s">
        <v>431</v>
      </c>
      <c r="F165" s="517">
        <v>14</v>
      </c>
      <c r="H165" s="550">
        <f>SUM(A165:F165)</f>
        <v>14</v>
      </c>
      <c r="J165" s="551" t="s">
        <v>432</v>
      </c>
      <c r="K165" s="552">
        <v>44691</v>
      </c>
      <c r="L165" s="553" t="s">
        <v>433</v>
      </c>
      <c r="N165" s="517"/>
      <c r="O165" s="553">
        <v>377.16</v>
      </c>
      <c r="P165" s="553">
        <v>27</v>
      </c>
      <c r="Q165" s="553">
        <f>O165/P165</f>
        <v>13.968888888888889</v>
      </c>
      <c r="R165" s="553" t="s">
        <v>434</v>
      </c>
      <c r="S165" s="554"/>
      <c r="T165" s="517" t="s">
        <v>435</v>
      </c>
      <c r="U165" s="517" t="s">
        <v>436</v>
      </c>
      <c r="V165" s="517" t="s">
        <v>437</v>
      </c>
      <c r="W165" s="552">
        <v>44847</v>
      </c>
      <c r="X165" s="517">
        <v>-52.71</v>
      </c>
      <c r="Y165" s="517"/>
      <c r="Z165" s="555">
        <v>537010</v>
      </c>
      <c r="AA165" s="517" t="s">
        <v>438</v>
      </c>
      <c r="AB165" s="517"/>
      <c r="AC165" s="517" t="s">
        <v>439</v>
      </c>
      <c r="AD165" s="517"/>
      <c r="AE165" s="517"/>
      <c r="AF165" s="517"/>
      <c r="AG165" s="517"/>
      <c r="AH165" s="517"/>
      <c r="AI165" s="517"/>
      <c r="AJ165" s="517"/>
      <c r="AK165" s="517"/>
      <c r="AL165" s="517"/>
      <c r="AM165" s="517"/>
      <c r="AN165" s="517"/>
      <c r="AO165" s="517"/>
      <c r="AP165" s="517"/>
      <c r="AQ165" s="517"/>
      <c r="AR165" s="517"/>
      <c r="AS165" s="517"/>
      <c r="AT165" s="517"/>
      <c r="AU165" s="517"/>
      <c r="AV165" s="517"/>
      <c r="AW165" s="517"/>
      <c r="AX165" s="517"/>
      <c r="AY165" s="517"/>
    </row>
    <row r="166" spans="1:51" ht="27" customHeight="1">
      <c r="F166" s="517">
        <f>Q166</f>
        <v>38.713999999999999</v>
      </c>
      <c r="H166" s="550">
        <f>SUM(A166:F166)</f>
        <v>38.713999999999999</v>
      </c>
      <c r="J166" s="551" t="s">
        <v>432</v>
      </c>
      <c r="K166" s="552">
        <v>44692</v>
      </c>
      <c r="L166" s="553" t="s">
        <v>440</v>
      </c>
      <c r="N166" s="517"/>
      <c r="O166" s="553">
        <v>193.57</v>
      </c>
      <c r="P166" s="553">
        <v>5</v>
      </c>
      <c r="Q166" s="553">
        <f>O166/P166</f>
        <v>38.713999999999999</v>
      </c>
      <c r="R166" s="553" t="s">
        <v>441</v>
      </c>
      <c r="S166" s="554"/>
      <c r="T166" s="517"/>
      <c r="U166" s="517"/>
      <c r="V166" s="517"/>
      <c r="W166" s="517"/>
      <c r="X166" s="517"/>
      <c r="Y166" s="517"/>
      <c r="Z166" s="517"/>
      <c r="AA166" s="517"/>
      <c r="AB166" s="517"/>
      <c r="AC166" s="517"/>
      <c r="AD166" s="517"/>
      <c r="AE166" s="517"/>
      <c r="AF166" s="517"/>
      <c r="AG166" s="517"/>
      <c r="AH166" s="517"/>
      <c r="AI166" s="517"/>
      <c r="AJ166" s="517"/>
      <c r="AK166" s="517"/>
      <c r="AL166" s="517"/>
      <c r="AM166" s="517"/>
      <c r="AN166" s="517"/>
      <c r="AO166" s="517"/>
      <c r="AP166" s="517"/>
      <c r="AQ166" s="517"/>
      <c r="AR166" s="517"/>
      <c r="AS166" s="517"/>
      <c r="AT166" s="517"/>
      <c r="AU166" s="517"/>
      <c r="AV166" s="517"/>
      <c r="AW166" s="517"/>
      <c r="AX166" s="517"/>
      <c r="AY166" s="517"/>
    </row>
    <row r="196" spans="12:21" ht="17.649999999999999">
      <c r="L196" s="565"/>
      <c r="M196" s="566"/>
      <c r="N196" s="566"/>
      <c r="O196" s="566"/>
      <c r="P196" s="566"/>
      <c r="Q196" s="566"/>
      <c r="R196" s="566"/>
      <c r="S196" s="566"/>
      <c r="T196" s="566"/>
      <c r="U196" s="567"/>
    </row>
  </sheetData>
  <mergeCells count="1">
    <mergeCell ref="L196:U196"/>
  </mergeCells>
  <pageMargins left="0.70866141732283472" right="0.70866141732283472" top="0.74803149606299213" bottom="0.74803149606299213" header="0.31496062992125984" footer="0.31496062992125984"/>
  <pageSetup paperSize="8" scale="8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442</v>
      </c>
      <c r="B1" s="104"/>
      <c r="C1" s="104"/>
      <c r="D1" s="104"/>
      <c r="E1" s="104"/>
      <c r="J1" s="10"/>
      <c r="M1" s="4" t="s">
        <v>300</v>
      </c>
    </row>
    <row r="2" spans="1:15" s="2" customFormat="1" ht="13.5" hidden="1" customHeight="1">
      <c r="A2" s="296" t="s">
        <v>443</v>
      </c>
      <c r="B2" s="104"/>
      <c r="C2" s="104"/>
      <c r="D2" s="296"/>
      <c r="E2" s="296"/>
      <c r="J2" s="3"/>
      <c r="M2" s="2" t="s">
        <v>302</v>
      </c>
    </row>
    <row r="3" spans="1:15" s="2" customFormat="1" ht="13.5" hidden="1" customHeight="1">
      <c r="A3" s="104" t="s">
        <v>339</v>
      </c>
      <c r="B3" s="104"/>
      <c r="C3" s="104"/>
      <c r="D3" s="104"/>
      <c r="E3" s="104"/>
      <c r="J3" s="3"/>
      <c r="M3" s="2" t="s">
        <v>305</v>
      </c>
    </row>
    <row r="4" spans="1:15" s="2" customFormat="1" ht="13.5" hidden="1" customHeight="1">
      <c r="J4" s="3"/>
    </row>
    <row r="5" spans="1:15" s="4" customFormat="1" ht="13.5" hidden="1" customHeight="1">
      <c r="A5" s="4" t="s">
        <v>372</v>
      </c>
      <c r="C5" s="6">
        <v>43190</v>
      </c>
      <c r="D5" s="2"/>
      <c r="E5" s="2"/>
      <c r="F5" s="2"/>
      <c r="G5" s="2"/>
      <c r="H5" s="2"/>
      <c r="I5" s="2"/>
      <c r="J5" s="3"/>
      <c r="K5" s="2"/>
    </row>
    <row r="6" spans="1:15" s="4" customFormat="1" ht="36.950000000000003" hidden="1" customHeight="1">
      <c r="A6" s="568" t="s">
        <v>308</v>
      </c>
      <c r="B6" s="568"/>
      <c r="C6" s="568"/>
      <c r="D6" s="568"/>
      <c r="E6" s="568"/>
      <c r="F6" s="568"/>
      <c r="G6" s="568"/>
      <c r="H6" s="568"/>
      <c r="I6" s="568"/>
      <c r="J6" s="568"/>
      <c r="K6" s="568"/>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309</v>
      </c>
      <c r="H8" s="58"/>
      <c r="I8" s="57" t="s">
        <v>310</v>
      </c>
      <c r="J8" s="59" t="s">
        <v>53</v>
      </c>
      <c r="K8" s="58" t="s">
        <v>311</v>
      </c>
    </row>
    <row r="9" spans="1:15" ht="30" hidden="1" customHeight="1">
      <c r="A9" s="40"/>
      <c r="B9" s="40"/>
      <c r="C9" s="40">
        <f>139.9/2</f>
        <v>69.95</v>
      </c>
      <c r="D9" s="40"/>
      <c r="E9" s="40"/>
      <c r="F9" s="40"/>
      <c r="G9" s="40">
        <f t="shared" ref="G9" si="0">SUM(A9:E9)</f>
        <v>69.95</v>
      </c>
      <c r="H9" s="4"/>
      <c r="I9" s="4" t="s">
        <v>444</v>
      </c>
      <c r="J9" s="50">
        <v>42993</v>
      </c>
      <c r="K9" s="45" t="s">
        <v>445</v>
      </c>
      <c r="L9" s="4"/>
      <c r="M9" s="4"/>
      <c r="N9" s="4"/>
      <c r="O9" s="299" t="s">
        <v>446</v>
      </c>
    </row>
    <row r="10" spans="1:15" ht="30" hidden="1" customHeight="1">
      <c r="A10" s="44"/>
      <c r="B10" s="44"/>
      <c r="C10" s="44">
        <v>18.600000000000001</v>
      </c>
      <c r="D10" s="44"/>
      <c r="E10" s="44"/>
      <c r="F10" s="44"/>
      <c r="G10" s="44">
        <f>SUM(A10:E10)</f>
        <v>18.600000000000001</v>
      </c>
      <c r="H10" s="4"/>
      <c r="I10" s="4" t="s">
        <v>447</v>
      </c>
      <c r="J10" s="10">
        <v>43003</v>
      </c>
      <c r="K10" s="4" t="s">
        <v>448</v>
      </c>
      <c r="O10" s="299" t="s">
        <v>449</v>
      </c>
    </row>
    <row r="11" spans="1:15" ht="30" hidden="1" customHeight="1">
      <c r="A11" s="40"/>
      <c r="B11" s="40"/>
      <c r="C11" s="40">
        <f>-54/2</f>
        <v>-27</v>
      </c>
      <c r="D11" s="40"/>
      <c r="E11" s="40"/>
      <c r="F11" s="40"/>
      <c r="G11" s="40">
        <f t="shared" ref="G11:G12" si="1">SUM(A11:E11)</f>
        <v>-27</v>
      </c>
      <c r="H11" s="4"/>
      <c r="I11" s="4" t="s">
        <v>450</v>
      </c>
      <c r="J11" s="50">
        <v>42997</v>
      </c>
      <c r="K11" s="45" t="s">
        <v>451</v>
      </c>
      <c r="M11" s="4"/>
      <c r="N11" s="4"/>
      <c r="O11" s="250" t="s">
        <v>449</v>
      </c>
    </row>
    <row r="12" spans="1:15" ht="30" hidden="1" customHeight="1">
      <c r="A12" s="40"/>
      <c r="B12" s="40"/>
      <c r="C12" s="40"/>
      <c r="D12" s="40"/>
      <c r="E12" s="40">
        <v>21.31</v>
      </c>
      <c r="F12" s="40"/>
      <c r="G12" s="40">
        <f t="shared" si="1"/>
        <v>21.31</v>
      </c>
      <c r="H12" s="4"/>
      <c r="I12" s="4" t="s">
        <v>452</v>
      </c>
      <c r="J12" s="50">
        <v>43079</v>
      </c>
      <c r="K12" s="45" t="s">
        <v>453</v>
      </c>
      <c r="M12" s="4"/>
      <c r="N12" s="4"/>
      <c r="O12" s="250" t="s">
        <v>366</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442</v>
      </c>
      <c r="B18" s="291"/>
      <c r="C18" s="291"/>
      <c r="D18" s="291"/>
      <c r="E18" s="291"/>
      <c r="J18" s="10"/>
      <c r="M18" s="4" t="s">
        <v>300</v>
      </c>
    </row>
    <row r="19" spans="1:17" s="2" customFormat="1" ht="13.5" hidden="1" customHeight="1">
      <c r="A19" s="292" t="s">
        <v>443</v>
      </c>
      <c r="B19" s="291"/>
      <c r="C19" s="291"/>
      <c r="D19" s="292"/>
      <c r="E19" s="292"/>
      <c r="J19" s="3"/>
      <c r="M19" s="2" t="s">
        <v>302</v>
      </c>
    </row>
    <row r="20" spans="1:17" s="2" customFormat="1" ht="13.5" hidden="1" customHeight="1">
      <c r="A20" s="291" t="s">
        <v>371</v>
      </c>
      <c r="B20" s="291"/>
      <c r="C20" s="291"/>
      <c r="D20" s="291"/>
      <c r="E20" s="291"/>
      <c r="J20" s="3"/>
      <c r="M20" s="2" t="s">
        <v>305</v>
      </c>
    </row>
    <row r="21" spans="1:17" s="2" customFormat="1" ht="13.5" hidden="1" customHeight="1">
      <c r="J21" s="3"/>
    </row>
    <row r="22" spans="1:17" s="4" customFormat="1" ht="13.5" hidden="1" customHeight="1">
      <c r="A22" s="4" t="s">
        <v>372</v>
      </c>
      <c r="C22" s="6">
        <f>'SUMMARY 2018.19'!B2</f>
        <v>43555</v>
      </c>
      <c r="D22" s="2"/>
      <c r="E22" s="2"/>
      <c r="F22" s="2"/>
      <c r="G22" s="2"/>
      <c r="H22" s="2"/>
      <c r="I22" s="2"/>
      <c r="J22" s="3"/>
      <c r="K22" s="2"/>
    </row>
    <row r="23" spans="1:17" s="4" customFormat="1" ht="36.950000000000003" hidden="1" customHeight="1">
      <c r="A23" s="568" t="s">
        <v>308</v>
      </c>
      <c r="B23" s="568"/>
      <c r="C23" s="568"/>
      <c r="D23" s="568"/>
      <c r="E23" s="568"/>
      <c r="F23" s="568"/>
      <c r="G23" s="568"/>
      <c r="H23" s="568"/>
      <c r="I23" s="568"/>
      <c r="J23" s="568"/>
      <c r="K23" s="568"/>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309</v>
      </c>
      <c r="H25" s="58"/>
      <c r="I25" s="57" t="s">
        <v>310</v>
      </c>
      <c r="J25" s="59" t="s">
        <v>53</v>
      </c>
      <c r="K25" s="58" t="s">
        <v>311</v>
      </c>
    </row>
    <row r="26" spans="1:17" s="18" customFormat="1" ht="30" hidden="1" customHeight="1">
      <c r="A26" s="44"/>
      <c r="B26" s="44"/>
      <c r="C26" s="44">
        <f>78*0.75</f>
        <v>58.5</v>
      </c>
      <c r="D26" s="44"/>
      <c r="E26" s="44"/>
      <c r="F26" s="44"/>
      <c r="G26" s="108">
        <f>SUM(A26:E26)</f>
        <v>58.5</v>
      </c>
      <c r="H26" s="4"/>
      <c r="I26" s="306" t="s">
        <v>454</v>
      </c>
      <c r="J26" s="10">
        <v>43366</v>
      </c>
      <c r="K26" s="4" t="s">
        <v>455</v>
      </c>
      <c r="L26" s="41"/>
      <c r="M26" s="41"/>
      <c r="N26" s="41"/>
      <c r="O26" s="250" t="s">
        <v>449</v>
      </c>
      <c r="P26" s="41"/>
      <c r="Q26" s="41"/>
    </row>
    <row r="27" spans="1:17" s="41" customFormat="1" ht="21.75" hidden="1" customHeight="1">
      <c r="A27" s="44"/>
      <c r="B27" s="44"/>
      <c r="C27" s="44"/>
      <c r="D27" s="44"/>
      <c r="E27" s="44">
        <f>74*0.75</f>
        <v>55.5</v>
      </c>
      <c r="F27" s="44"/>
      <c r="G27" s="108">
        <f t="shared" ref="G27:G28" si="4">SUM(A27:E27)</f>
        <v>55.5</v>
      </c>
      <c r="H27" s="4"/>
      <c r="I27" s="75" t="s">
        <v>456</v>
      </c>
      <c r="J27" s="10">
        <v>43366</v>
      </c>
      <c r="K27" s="8" t="s">
        <v>457</v>
      </c>
      <c r="N27" s="246"/>
      <c r="O27" s="250"/>
      <c r="Q27" s="250"/>
    </row>
    <row r="28" spans="1:17" ht="30" hidden="1" customHeight="1">
      <c r="A28" s="40"/>
      <c r="B28" s="40"/>
      <c r="C28" s="40"/>
      <c r="D28" s="40"/>
      <c r="E28" s="40">
        <f>91.67*0.75</f>
        <v>68.752499999999998</v>
      </c>
      <c r="F28" s="40"/>
      <c r="G28" s="146">
        <f t="shared" si="4"/>
        <v>68.752499999999998</v>
      </c>
      <c r="H28" s="4"/>
      <c r="I28" s="4" t="s">
        <v>458</v>
      </c>
      <c r="J28" s="10">
        <v>43366</v>
      </c>
      <c r="K28" s="45" t="s">
        <v>459</v>
      </c>
      <c r="M28" s="4"/>
      <c r="N28" s="4"/>
      <c r="O28" s="250" t="s">
        <v>449</v>
      </c>
    </row>
    <row r="29" spans="1:17" ht="30" hidden="1" customHeight="1">
      <c r="A29" s="40"/>
      <c r="B29" s="40"/>
      <c r="C29" s="40"/>
      <c r="D29" s="40"/>
      <c r="E29" s="40"/>
      <c r="F29" s="40"/>
      <c r="G29" s="40">
        <f t="shared" ref="G29:G32" si="5">SUM(A29:E29)</f>
        <v>0</v>
      </c>
      <c r="H29" s="4"/>
      <c r="I29" s="4"/>
      <c r="J29" s="50"/>
      <c r="K29" s="45"/>
      <c r="M29" s="4"/>
      <c r="N29" s="4"/>
      <c r="O29" s="250" t="s">
        <v>366</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442</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443</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390</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372</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68" t="s">
        <v>308</v>
      </c>
      <c r="B40" s="568"/>
      <c r="C40" s="568"/>
      <c r="D40" s="568"/>
      <c r="E40" s="568"/>
      <c r="F40" s="568"/>
      <c r="G40" s="568"/>
      <c r="H40" s="568"/>
      <c r="I40" s="568"/>
      <c r="J40" s="568"/>
      <c r="K40" s="568"/>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309</v>
      </c>
      <c r="H42" s="58"/>
      <c r="I42" s="51" t="s">
        <v>310</v>
      </c>
      <c r="J42" s="51" t="s">
        <v>53</v>
      </c>
      <c r="K42" s="51" t="s">
        <v>311</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460</v>
      </c>
      <c r="J43" s="50">
        <v>43729</v>
      </c>
      <c r="K43" s="8" t="s">
        <v>461</v>
      </c>
      <c r="L43" s="250"/>
      <c r="M43" s="4" t="s">
        <v>462</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442</v>
      </c>
      <c r="B52" s="288"/>
      <c r="C52" s="288"/>
      <c r="D52" s="288"/>
      <c r="E52" s="41"/>
      <c r="F52" s="4"/>
      <c r="G52" s="2"/>
      <c r="H52" s="4"/>
      <c r="I52" s="237"/>
      <c r="J52" s="50"/>
      <c r="K52" s="4"/>
    </row>
    <row r="53" spans="1:11" ht="15" customHeight="1">
      <c r="A53" s="289" t="s">
        <v>443</v>
      </c>
      <c r="B53" s="288"/>
      <c r="C53" s="288"/>
      <c r="D53" s="289"/>
      <c r="E53" s="41"/>
      <c r="F53" s="2"/>
      <c r="G53" s="2"/>
      <c r="H53" s="2"/>
      <c r="I53" s="236"/>
      <c r="J53" s="234"/>
      <c r="K53" s="2"/>
    </row>
    <row r="54" spans="1:11" ht="15" customHeight="1">
      <c r="A54" s="288" t="s">
        <v>401</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372</v>
      </c>
      <c r="B56" s="4"/>
      <c r="C56" s="6">
        <f>'SUMMARY 2021-22'!$C$2</f>
        <v>44651</v>
      </c>
      <c r="D56" s="2"/>
      <c r="E56" s="2"/>
      <c r="F56" s="2"/>
      <c r="G56" s="2"/>
      <c r="H56" s="2"/>
      <c r="I56" s="236"/>
      <c r="J56" s="234"/>
      <c r="K56" s="2"/>
    </row>
    <row r="57" spans="1:11" ht="28.9" customHeight="1">
      <c r="A57" s="568" t="s">
        <v>308</v>
      </c>
      <c r="B57" s="568"/>
      <c r="C57" s="568"/>
      <c r="D57" s="568"/>
      <c r="E57" s="568"/>
      <c r="F57" s="568"/>
      <c r="G57" s="568"/>
      <c r="H57" s="568"/>
      <c r="I57" s="568"/>
      <c r="J57" s="568"/>
      <c r="K57" s="568"/>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309</v>
      </c>
      <c r="H59" s="58"/>
      <c r="I59" s="51" t="s">
        <v>310</v>
      </c>
      <c r="J59" s="51" t="s">
        <v>53</v>
      </c>
      <c r="K59" s="51" t="s">
        <v>311</v>
      </c>
    </row>
    <row r="60" spans="1:11" ht="15" customHeight="1">
      <c r="A60" s="4"/>
      <c r="B60" s="4"/>
      <c r="C60" s="4"/>
      <c r="D60" s="4"/>
      <c r="E60" s="4"/>
      <c r="F60" s="4"/>
      <c r="G60" s="2">
        <f t="shared" ref="G60" si="9">SUM(A60:E60)</f>
        <v>0</v>
      </c>
      <c r="H60" s="4"/>
      <c r="I60" s="240" t="s">
        <v>460</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Khan S</vt:lpstr>
      <vt:lpstr>Bowes N</vt:lpstr>
      <vt:lpstr>Hennessy P</vt:lpstr>
      <vt:lpstr>Kreitzman L</vt:lpstr>
      <vt:lpstr>Murray J</vt:lpstr>
      <vt:lpstr>Shawcross V</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'Bowes N'!Print_Area</vt:lpstr>
      <vt:lpstr>'Hennessy P'!Print_Area</vt:lpstr>
      <vt:lpstr>'Khan S'!Print_Area</vt:lpstr>
      <vt:lpstr>'Kreitzman L'!Print_Area</vt:lpstr>
      <vt:lpstr>'Linden S'!Print_Area</vt:lpstr>
      <vt:lpstr>'Murray J'!Print_Area</vt:lpstr>
      <vt:lpstr>'Ryder M (has left the GLA)'!Print_Area</vt:lpstr>
      <vt:lpstr>'Shawcross V'!Print_Area</vt:lpstr>
      <vt:lpstr>'Stenner J'!Print_Area</vt:lpstr>
      <vt:lpstr>'SUMMARY 2017.18'!Print_Area</vt:lpstr>
      <vt:lpstr>'SUMMARY 2018.19'!Print_Area</vt:lpstr>
      <vt:lpstr>'SUMMARY 2021-22'!Print_Area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2023-08-21T10:04:18Z</dcterms:modified>
  <cp:category/>
  <cp:contentStatus/>
</cp:coreProperties>
</file>