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Objects="none" codeName="ThisWorkbook" hidePivotFieldList="1" defaultThemeVersion="124226"/>
  <mc:AlternateContent xmlns:mc="http://schemas.openxmlformats.org/markup-compatibility/2006">
    <mc:Choice Requires="x15">
      <x15ac:absPath xmlns:x15ac="http://schemas.microsoft.com/office/spreadsheetml/2010/11/ac" url="C:\Users\amanfrin\Desktop\"/>
    </mc:Choice>
  </mc:AlternateContent>
  <xr:revisionPtr revIDLastSave="0" documentId="8_{2D139F90-D82E-4453-AAF7-5708EE1A7A16}" xr6:coauthVersionLast="45" xr6:coauthVersionMax="45" xr10:uidLastSave="{00000000-0000-0000-0000-000000000000}"/>
  <bookViews>
    <workbookView xWindow="-98" yWindow="-98" windowWidth="20715" windowHeight="13276" firstSheet="10" activeTab="10" xr2:uid="{00000000-000D-0000-FFFF-FFFF00000000}"/>
  </bookViews>
  <sheets>
    <sheet name="SIF" sheetId="13" state="hidden" r:id="rId1"/>
    <sheet name="CANDIDATE BRIEFINGS" sheetId="17" state="hidden" r:id="rId2"/>
    <sheet name="GLACapProgBreakdown" sheetId="26" state="hidden" r:id="rId3"/>
    <sheet name="GLA Mayor (3)" sheetId="34" state="hidden" r:id="rId4"/>
    <sheet name="GLA Mayor (2)" sheetId="32" state="hidden" r:id="rId5"/>
    <sheet name="Savings OLD DO NOT USE" sheetId="10" state="hidden" r:id="rId6"/>
    <sheet name="Breifing" sheetId="19" state="hidden" r:id="rId7"/>
    <sheet name="Not needed -&gt;" sheetId="24" state="hidden" r:id="rId8"/>
    <sheet name="Part1 - Annex A" sheetId="20" state="hidden" r:id="rId9"/>
    <sheet name="Summary - Funded Measures " sheetId="36" state="hidden" r:id="rId10"/>
    <sheet name="Climate Measures - Funded" sheetId="31" r:id="rId11"/>
    <sheet name="C.Measures Unfunded &amp; Unadopted" sheetId="35" r:id="rId12"/>
    <sheet name="Sheet1" sheetId="23" state="hidden" r:id="rId13"/>
    <sheet name="AnnexATable" sheetId="22" state="hidden" r:id="rId14"/>
    <sheet name="OPDC MDC Reserve" sheetId="14" state="hidden" r:id="rId15"/>
    <sheet name="extra funding" sheetId="16"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123Graph_A" hidden="1">'[1]SUMMARY TABLE'!$S$23:$S$46</definedName>
    <definedName name="__123Graph_AALLTAX" hidden="1">'[2]Forecast 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DNUMBERS" hidden="1">'[1]SUMMARY TABLE'!$U$6:$U$49</definedName>
    <definedName name="__123Graph_APDTRENDS" hidden="1">'[1]SUMMARY TABLE'!$S$23:$S$46</definedName>
    <definedName name="__123Graph_APIC" hidden="1">'[4]T3 Page 1'!#REF!</definedName>
    <definedName name="__123Graph_ATOBREV" hidden="1">'[2]Forecast data'!#REF!</definedName>
    <definedName name="__123Graph_ATOTAL" hidden="1">'[2]Forecast data'!#REF!</definedName>
    <definedName name="__123Graph_B" hidden="1">'[1]SUMMARY TABLE'!$T$23:$T$46</definedName>
    <definedName name="__123Graph_BCHGSPD1" hidden="1">'[3]CHGSPD19.FIN'!$H$10:$H$25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hidden="1">'[5]HIS19FIN(A)'!$D$79:$I$79</definedName>
    <definedName name="__123Graph_BPDTRENDS" hidden="1">'[1]SUMMARY TABLE'!$T$23:$T$46</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 hidden="1">'[1]SUMMARY TABLE'!$P$23:$P$46</definedName>
    <definedName name="__123Graph_XACTHIC" hidden="1">'[4]FC Page 1'!#REF!</definedName>
    <definedName name="__123Graph_XALLTAX" hidden="1">'[2]Forecast data'!#REF!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DNUMBERS" hidden="1">'[1]SUMMARY TABLE'!$Q$6:$Q$49</definedName>
    <definedName name="__123Graph_XPDTRENDS" hidden="1">'[1]SUMMARY TABLE'!$P$23:$P$46</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'[2]Forecast data'!#REF!</definedName>
    <definedName name="_xlnm._FilterDatabase" localSheetId="1" hidden="1">'CANDIDATE BRIEFINGS'!$BF$48:$BG$53</definedName>
    <definedName name="_xlnm._FilterDatabase" localSheetId="2" hidden="1">GLACapProgBreakdown!$A$1:$O$93</definedName>
    <definedName name="_xlnm._FilterDatabase"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GFINAL">#REF!</definedName>
    <definedName name="ADHOCTOTALBACK">'[6]Debtor and Creditor'!#REF!</definedName>
    <definedName name="ADJUSTED">'[7]Emkd Reserves TB'!#REF!</definedName>
    <definedName name="ADJUSTEDBACK">'[7]Emkd Reserves TB'!#REF!</definedName>
    <definedName name="ADJUSTSCHOOLSBACK">'[7]Emkd Reserves TB'!#REF!</definedName>
    <definedName name="ADMINBFINAL">#REF!</definedName>
    <definedName name="adminblgs">#REF!</definedName>
    <definedName name="Adur">[8]DATA!#REF!</definedName>
    <definedName name="all">[9]all!$A:$E</definedName>
    <definedName name="asdas" hidden="1">{#N/A,#N/A,FALSE,"TMCOMP96";#N/A,#N/A,FALSE,"MAT96";#N/A,#N/A,FALSE,"FANDA96";#N/A,#N/A,FALSE,"INTRAN96";#N/A,#N/A,FALSE,"NAA9697";#N/A,#N/A,FALSE,"ECWEBB";#N/A,#N/A,FALSE,"MFT96";#N/A,#N/A,FALSE,"CTrecon"}</definedName>
    <definedName name="asdff">#REF!</definedName>
    <definedName name="AuthorityList">'[10]LA Dropdown'!$J$4:$J$409</definedName>
    <definedName name="BALSFINAL">#REF!</definedName>
    <definedName name="BALSHEETFINAL">#REF!</definedName>
    <definedName name="BB">#REF!</definedName>
    <definedName name="BIDDATA">#REF!</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BRprint1">#REF!</definedName>
    <definedName name="BRprint2">#REF!</definedName>
    <definedName name="bud">'[9]Budget FY'!$A$7:$F$102</definedName>
    <definedName name="BUILDFINAL">#REF!</definedName>
    <definedName name="buildingcontrol">#REF!</definedName>
    <definedName name="CASH">#REF!</definedName>
    <definedName name="CASHA">#REF!</definedName>
    <definedName name="category">[12]Sheet1!$A$1:$A$5</definedName>
    <definedName name="CC">#REF!</definedName>
    <definedName name="CCentre">[13]Lookups!$A$34:$A$581</definedName>
    <definedName name="CDC">#REF!</definedName>
    <definedName name="CECARRYFINAL">#REF!</definedName>
    <definedName name="CENSUS_CALC">'[14].CENSUS_DATA'!#REF!</definedName>
    <definedName name="CENSUS_PRCNT">'[14].CENSUS_DATA'!#REF!</definedName>
    <definedName name="CEP">#REF!</definedName>
    <definedName name="CES">#REF!</definedName>
    <definedName name="cesundry">#REF!</definedName>
    <definedName name="CESUNDRYFINAL">#REF!</definedName>
    <definedName name="CETRADINGFINAL">#REF!</definedName>
    <definedName name="chiefexecs">#REF!</definedName>
    <definedName name="CHILDTRADEFINAL">#REF!</definedName>
    <definedName name="CHLNDCFINAL">#REF!</definedName>
    <definedName name="CIVILCONFINAL">#REF!</definedName>
    <definedName name="civilcontingencies">#REF!</definedName>
    <definedName name="CLCNDCFINAL">#REF!</definedName>
    <definedName name="CLCTRADEFINAL">#REF!</definedName>
    <definedName name="collfund">#REF!</definedName>
    <definedName name="communiytuse">#REF!</definedName>
    <definedName name="COMMUSEFINAL">#REF!</definedName>
    <definedName name="ConBud">#REF!</definedName>
    <definedName name="costcentres">#REF!</definedName>
    <definedName name="CREDITORS">#REF!</definedName>
    <definedName name="CREDITORSA">#REF!</definedName>
    <definedName name="CRIT_CENSUS">'[14].CENSUS_DATA'!#REF!</definedName>
    <definedName name="CRIT_DFGMAND">[14]DFG_MANDATORY!#REF!</definedName>
    <definedName name="CRIT_HMO">[14]HMO!#REF!</definedName>
    <definedName name="CRIT_HOMEREP">[14]HOME_REPAIR!#REF!</definedName>
    <definedName name="CRIT_RENGRANT">'[14].RENOVATION_GRANT'!#REF!</definedName>
    <definedName name="CRIT_RENTEXP">#REF!</definedName>
    <definedName name="CRIT_SCHOOL">#REF!</definedName>
    <definedName name="CRIT_UNEMP">#REF!</definedName>
    <definedName name="crossrail">#REF!</definedName>
    <definedName name="CROSSRAILFINAL">#REF!</definedName>
    <definedName name="ctb">#REF!</definedName>
    <definedName name="cvat">[15]VAT!$A:$C</definedName>
    <definedName name="datar">[16]DATA!$A$8:$AM$335</definedName>
    <definedName name="DBASE">[17]Dbase!$B$2:$H$1349</definedName>
    <definedName name="DEBTORS">#REF!</definedName>
    <definedName name="DEBTORSA">#REF!</definedName>
    <definedName name="depot">#REF!</definedName>
    <definedName name="DEPOTFINAL">#REF!</definedName>
    <definedName name="detruse">#REF!</definedName>
    <definedName name="dgsgf" hidden="1">{#N/A,#N/A,FALSE,"TMCOMP96";#N/A,#N/A,FALSE,"MAT96";#N/A,#N/A,FALSE,"FANDA96";#N/A,#N/A,FALSE,"INTRAN96";#N/A,#N/A,FALSE,"NAA9697";#N/A,#N/A,FALSE,"ECWEBB";#N/A,#N/A,FALSE,"MFT96";#N/A,#N/A,FALSE,"CTrecon"}</definedName>
    <definedName name="DHOMESFINAL">#REF!</definedName>
    <definedName name="Distribution" hidden="1">#REF!</definedName>
    <definedName name="DRNDCFINAL">#REF!</definedName>
    <definedName name="dropdown">[18]Lists!$A$2:$A$30</definedName>
    <definedName name="dtlruse">#REF!</definedName>
    <definedName name="Educ">#REF!</definedName>
    <definedName name="EDUCATION">#REF!</definedName>
    <definedName name="EDUCATION_EXPBLK">#REF!</definedName>
    <definedName name="EGOVFINAL">#REF!</definedName>
    <definedName name="egovt">#REF!</definedName>
    <definedName name="eh" hidden="1">{"'Trust by name'!$A$6:$E$350","'Trust by name'!$A$1:$D$348"}</definedName>
    <definedName name="elecregistration">#REF!</definedName>
    <definedName name="ELECTFINAL">#REF!</definedName>
    <definedName name="elections">#REF!</definedName>
    <definedName name="EQUIPMENT">#REF!</definedName>
    <definedName name="EQUIPMENTA">#REF!</definedName>
    <definedName name="ExtraProfiles" hidden="1">#REF!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inalaccounts">#REF!</definedName>
    <definedName name="FINALTOTAL">'[7]Emkd Reserves TB'!#REF!</definedName>
    <definedName name="FOODFINAL">#REF!</definedName>
    <definedName name="foodwaste">#REF!</definedName>
    <definedName name="FRAMEFINAL">#REF!</definedName>
    <definedName name="frameworki">#REF!</definedName>
    <definedName name="fyu" hidden="1">'[2]Forecast data'!#REF!</definedName>
    <definedName name="ghj" hidden="1">{#N/A,#N/A,FALSE,"TMCOMP96";#N/A,#N/A,FALSE,"MAT96";#N/A,#N/A,FALSE,"FANDA96";#N/A,#N/A,FALSE,"INTRAN96";#N/A,#N/A,FALSE,"NAA9697";#N/A,#N/A,FALSE,"ECWEBB";#N/A,#N/A,FALSE,"MFT96";#N/A,#N/A,FALSE,"CTrecon"}</definedName>
    <definedName name="GLA">[19]List!$C$2:$C$6</definedName>
    <definedName name="grossnet">#REF!</definedName>
    <definedName name="HEADS">#REF!</definedName>
    <definedName name="HEADS_EXPBLK">#REF!</definedName>
    <definedName name="help">'[20]Emkd Reserves TB'!#REF!</definedName>
    <definedName name="Hidden">[21]Lists!$A$9:$A$21</definedName>
    <definedName name="HIG">#REF!</definedName>
    <definedName name="HOU">#REF!</definedName>
    <definedName name="housingchoice">#REF!</definedName>
    <definedName name="HRADEFICIT">'[22]Page 30'!$I$51</definedName>
    <definedName name="HRANDCFINAL">#REF!</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ERESERVE">#REF!</definedName>
    <definedName name="Impact">[21]Lists!$H$16:$H$17</definedName>
    <definedName name="IMPROVEFINAL">#REF!</definedName>
    <definedName name="improvefund">#REF!</definedName>
    <definedName name="INSFINAL">#REF!</definedName>
    <definedName name="insurance">#REF!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abgi">#REF!</definedName>
    <definedName name="LAcodes">#REF!</definedName>
    <definedName name="LAGBIFINAL">#REF!</definedName>
    <definedName name="LAlist">#REF!</definedName>
    <definedName name="last">'[15]last one'!$A$3:$F$98</definedName>
    <definedName name="LBTHMANFEEBACK">'[6]Debtor and Creditor'!#REF!</definedName>
    <definedName name="LEV">'[23]BVACOP analysis'!#REF!</definedName>
    <definedName name="LIABILITY">#REF!</definedName>
    <definedName name="LIABILITYA">#REF!</definedName>
    <definedName name="lineb">[21]Lists!$A$2:$A$22</definedName>
    <definedName name="LOCALFINAL">#REF!</definedName>
    <definedName name="lookup">#REF!</definedName>
    <definedName name="LPRGFINAL">#REF!</definedName>
    <definedName name="lpsa">#REF!</definedName>
    <definedName name="ly">'[15]Upload (2)'!$A$3:$K$98</definedName>
    <definedName name="MANFEEBACK">'[6]Debtor and Creditor'!#REF!</definedName>
    <definedName name="mela">#REF!</definedName>
    <definedName name="MELAFINAL">#REF!</definedName>
    <definedName name="miscit">#REF!</definedName>
    <definedName name="MISCITFINAL">#REF!</definedName>
    <definedName name="MM">#REF!</definedName>
    <definedName name="MTFP">#REF!</definedName>
    <definedName name="n" hidden="1">{#N/A,#N/A,FALSE,"TMCOMP96";#N/A,#N/A,FALSE,"MAT96";#N/A,#N/A,FALSE,"FANDA96";#N/A,#N/A,FALSE,"INTRAN96";#N/A,#N/A,FALSE,"NAA9697";#N/A,#N/A,FALSE,"ECWEBB";#N/A,#N/A,FALSE,"MFT96";#N/A,#N/A,FALSE,"CTrecon"}</definedName>
    <definedName name="NDC">'[23]BVACOP analysis'!#REF!</definedName>
    <definedName name="ndcchild">#REF!</definedName>
    <definedName name="ndcclc">#REF!</definedName>
    <definedName name="ndcDandR">#REF!</definedName>
    <definedName name="ndchous">#REF!</definedName>
    <definedName name="NEEDSFINAL">#REF!</definedName>
    <definedName name="NETWORTH8">#REF!</definedName>
    <definedName name="NETWORTH9">#REF!</definedName>
    <definedName name="NETWORTHGROUP8">#REF!</definedName>
    <definedName name="NETWORTHGROUP9">#REF!</definedName>
    <definedName name="newseparate">#REF!</definedName>
    <definedName name="nrf">#REF!</definedName>
    <definedName name="NRFFINAL">#REF!</definedName>
    <definedName name="numberhered">#REF!</definedName>
    <definedName name="Obj_Acct">[13]Lookups!$A$584:$A$829</definedName>
    <definedName name="ocean">#REF!</definedName>
    <definedName name="OCEANFINAL">#REF!</definedName>
    <definedName name="olympics">#REF!</definedName>
    <definedName name="OLYMPICSFINAL">#REF!</definedName>
    <definedName name="one2fifty">[24]Lists!$C$3:$C$52</definedName>
    <definedName name="ONEOONE">#REF!</definedName>
    <definedName name="Option2" hidden="1">{#N/A,#N/A,FALSE,"TMCOMP96";#N/A,#N/A,FALSE,"MAT96";#N/A,#N/A,FALSE,"FANDA96";#N/A,#N/A,FALSE,"INTRAN96";#N/A,#N/A,FALSE,"NAA9697";#N/A,#N/A,FALSE,"ECWEBB";#N/A,#N/A,FALSE,"MFT96";#N/A,#N/A,FALSE,"CTrecon"}</definedName>
    <definedName name="parking">#REF!</definedName>
    <definedName name="PARKINGFINAL">#REF!</definedName>
    <definedName name="passfail">[24]Lists!$O$3:$O$4</definedName>
    <definedName name="pcrefresh">#REF!</definedName>
    <definedName name="PCREFRESHFINAL">#REF!</definedName>
    <definedName name="pdg">#REF!</definedName>
    <definedName name="PDGFINAL">#REF!</definedName>
    <definedName name="pensions">#REF!</definedName>
    <definedName name="percentage">[24]Lists!$I$3:$I$23</definedName>
    <definedName name="Police2010_11">#REF!</definedName>
    <definedName name="Pop" hidden="1">[25]Population!#REF!</definedName>
    <definedName name="Population" hidden="1">#REF!</definedName>
    <definedName name="_xlnm.Print_Area" localSheetId="13">AnnexATable!$A$1:$K$155</definedName>
    <definedName name="_xlnm.Print_Area" localSheetId="11">Table3[#All]</definedName>
    <definedName name="_xlnm.Print_Area" localSheetId="10">Table2[#All]</definedName>
    <definedName name="_xlnm.Print_Area" localSheetId="9">'Summary - Funded Measures '!$B$2:$K$10</definedName>
    <definedName name="_xlnm.Print_Titles" localSheetId="11">'C.Measures Unfunded &amp; Unadopted'!$B:$B,'C.Measures Unfunded &amp; Unadopted'!$1:$1</definedName>
    <definedName name="_xlnm.Print_Titles" localSheetId="10">'Climate Measures - Funded'!$B:$B,'Climate Measures - Funded'!$1:$1</definedName>
    <definedName name="Profiles" hidden="1">#REF!</definedName>
    <definedName name="Projections" hidden="1">#REF!</definedName>
    <definedName name="Provorfin">#REF!</definedName>
    <definedName name="RADATA">#REF!</definedName>
    <definedName name="raterebates">#REF!</definedName>
    <definedName name="recoupment">#REF!</definedName>
    <definedName name="regen">#REF!</definedName>
    <definedName name="REGENFINAL">#REF!</definedName>
    <definedName name="RENGRANT_PRCNT">'[14].RENOVATION_GRANT'!#REF!</definedName>
    <definedName name="RENTEXP">#REF!</definedName>
    <definedName name="RENTEXP_EXPBLK">#REF!</definedName>
    <definedName name="RENTEXP_PRCNT">#REF!</definedName>
    <definedName name="RESERVE">#REF!</definedName>
    <definedName name="RESERVEA">#REF!</definedName>
    <definedName name="result">[24]Lists!$J$3:$J$15</definedName>
    <definedName name="Results" hidden="1">[26]UK99!$A$1:$A$1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und_factor">'[27]Monetary Control totals'!$B$19</definedName>
    <definedName name="rrrrr">#REF!</definedName>
    <definedName name="RTECOUPFINAL">#REF!</definedName>
    <definedName name="SAPBEXhrIndnt" hidden="1">"Wide"</definedName>
    <definedName name="SAPsysID" hidden="1">"708C5W7SBKP804JT78WJ0JNKI"</definedName>
    <definedName name="SAPwbID" hidden="1">"ARS"</definedName>
    <definedName name="SCHOOL_PRCNT">#REF!</definedName>
    <definedName name="schools">#REF!</definedName>
    <definedName name="schoolstb">#REF!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ARATE">#REF!</definedName>
    <definedName name="sfad" hidden="1">{#N/A,#N/A,FALSE,"TMCOMP96";#N/A,#N/A,FALSE,"MAT96";#N/A,#N/A,FALSE,"FANDA96";#N/A,#N/A,FALSE,"INTRAN96";#N/A,#N/A,FALSE,"NAA9697";#N/A,#N/A,FALSE,"ECWEBB";#N/A,#N/A,FALSE,"MFT96";#N/A,#N/A,FALSE,"CTrecon"}</definedName>
    <definedName name="SGDATA">#REF!</definedName>
    <definedName name="singlestatus">#REF!</definedName>
    <definedName name="slatotal">#REF!</definedName>
    <definedName name="SLATOTALBACK">'[6]Debtor and Creditor'!#REF!</definedName>
    <definedName name="SOS">'[23]BVACOP analysis'!#REF!</definedName>
    <definedName name="specialneeds">#REF!</definedName>
    <definedName name="SSFINAL">#REF!</definedName>
    <definedName name="staffname">[24]Lists!$D$3:$D$22</definedName>
    <definedName name="status">[24]Lists!$G$3:$G$5</definedName>
    <definedName name="STOCK">#REF!</definedName>
    <definedName name="STOCKA">#REF!</definedName>
    <definedName name="Table">#REF!</definedName>
    <definedName name="table1">#REF!</definedName>
    <definedName name="team">[24]Lists!$L$3:$L$57</definedName>
    <definedName name="TEMPFINAL">#REF!</definedName>
    <definedName name="temppermanent">#REF!</definedName>
    <definedName name="THHCREDITORSBACK">'[6]Debtor and Creditor'!#REF!</definedName>
    <definedName name="THPFINAL">#REF!</definedName>
    <definedName name="timepertask">[24]Lists!$F$3:$F$5</definedName>
    <definedName name="tot">'[9]CC Totals'!$A:$C</definedName>
    <definedName name="TRAD">'[23]BVACOP analysis'!#REF!</definedName>
    <definedName name="TRAVEL">#REF!</definedName>
    <definedName name="TRAVEL_EXPBLK">#REF!</definedName>
    <definedName name="trggh" hidden="1">{#N/A,#N/A,FALSE,"TMCOMP96";#N/A,#N/A,FALSE,"MAT96";#N/A,#N/A,FALSE,"FANDA96";#N/A,#N/A,FALSE,"INTRAN96";#N/A,#N/A,FALSE,"NAA9697";#N/A,#N/A,FALSE,"ECWEBB";#N/A,#N/A,FALSE,"MFT96";#N/A,#N/A,FALSE,"CTrecon"}</definedName>
    <definedName name="TRIALBAL">#REF!</definedName>
    <definedName name="Types">[21]Lists!$E$1:$E$5</definedName>
    <definedName name="Typess">[21]Lists!$E$1:$E$6</definedName>
    <definedName name="UNAPPLIEDFINAL">#REF!</definedName>
    <definedName name="UNINTENT2">[14]UNINTENT_HOME!#REF!</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yesno">[24]Lists!$B$3:$B$4</definedName>
    <definedName name="Z_5774AB63_4B8A_11D6_8117_08005A7F5BB1_.wvu.Cols" hidden="1">#REF!</definedName>
    <definedName name="Z_5774AB63_4B8A_11D6_8117_08005A7F5BB1_.wvu.PrintArea" hidden="1">#REF!</definedName>
    <definedName name="zzz">#REF!</definedName>
  </definedNames>
  <calcPr calcId="191028"/>
  <pivotCaches>
    <pivotCache cacheId="0" r:id="rId4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36" l="1"/>
  <c r="J4" i="36"/>
  <c r="I5" i="36"/>
  <c r="K5" i="36" s="1"/>
  <c r="J5" i="36"/>
  <c r="I6" i="36"/>
  <c r="J6" i="36"/>
  <c r="I7" i="36"/>
  <c r="J7" i="36"/>
  <c r="I8" i="36"/>
  <c r="J8" i="36"/>
  <c r="I9" i="36"/>
  <c r="J9" i="36"/>
  <c r="H9" i="36"/>
  <c r="K9" i="36" s="1"/>
  <c r="H8" i="36"/>
  <c r="H7" i="36"/>
  <c r="K7" i="36" s="1"/>
  <c r="H6" i="36"/>
  <c r="K6" i="36" s="1"/>
  <c r="H5" i="36"/>
  <c r="H4" i="36"/>
  <c r="D4" i="36"/>
  <c r="E4" i="36"/>
  <c r="D5" i="36"/>
  <c r="E5" i="36"/>
  <c r="D6" i="36"/>
  <c r="E6" i="36"/>
  <c r="D7" i="36"/>
  <c r="E7" i="36"/>
  <c r="D8" i="36"/>
  <c r="E8" i="36"/>
  <c r="D9" i="36"/>
  <c r="E9" i="36"/>
  <c r="C9" i="36"/>
  <c r="F9" i="36" s="1"/>
  <c r="C8" i="36"/>
  <c r="C7" i="36"/>
  <c r="C6" i="36"/>
  <c r="F6" i="36" s="1"/>
  <c r="C5" i="36"/>
  <c r="F5" i="36" s="1"/>
  <c r="C4" i="36"/>
  <c r="C320" i="34"/>
  <c r="G319" i="34"/>
  <c r="G320" i="34" s="1"/>
  <c r="F319" i="34"/>
  <c r="F320" i="34" s="1"/>
  <c r="G318" i="34"/>
  <c r="F318" i="34"/>
  <c r="D318" i="34"/>
  <c r="D319" i="34" s="1"/>
  <c r="D320" i="34" s="1"/>
  <c r="C318" i="34"/>
  <c r="C319" i="34" s="1"/>
  <c r="E319" i="34" s="1"/>
  <c r="E320" i="34" s="1"/>
  <c r="G317" i="34"/>
  <c r="F317" i="34"/>
  <c r="E317" i="34"/>
  <c r="D317" i="34"/>
  <c r="C317" i="34"/>
  <c r="E316" i="34"/>
  <c r="E315" i="34"/>
  <c r="E314" i="34"/>
  <c r="E313" i="34"/>
  <c r="E312" i="34"/>
  <c r="E311" i="34"/>
  <c r="E310" i="34"/>
  <c r="E309" i="34"/>
  <c r="E308" i="34"/>
  <c r="E307" i="34"/>
  <c r="E306" i="34"/>
  <c r="E305" i="34"/>
  <c r="E304" i="34"/>
  <c r="E303" i="34"/>
  <c r="E302" i="34"/>
  <c r="E301" i="34"/>
  <c r="E300" i="34"/>
  <c r="E299" i="34"/>
  <c r="E298" i="34"/>
  <c r="E295" i="34"/>
  <c r="E294" i="34"/>
  <c r="E293" i="34"/>
  <c r="E292" i="34"/>
  <c r="E291" i="34"/>
  <c r="E290" i="34"/>
  <c r="E289" i="34"/>
  <c r="E288" i="34"/>
  <c r="E285" i="34"/>
  <c r="E284" i="34"/>
  <c r="E283" i="34"/>
  <c r="E282" i="34"/>
  <c r="E281" i="34"/>
  <c r="E280" i="34"/>
  <c r="E279" i="34"/>
  <c r="E278" i="34"/>
  <c r="E277" i="34"/>
  <c r="G268" i="34"/>
  <c r="F268" i="34"/>
  <c r="E268" i="34"/>
  <c r="D268" i="34"/>
  <c r="C268" i="34"/>
  <c r="G259" i="34"/>
  <c r="F259" i="34"/>
  <c r="E259" i="34"/>
  <c r="D259" i="34"/>
  <c r="C259" i="34"/>
  <c r="G241" i="34"/>
  <c r="F241" i="34"/>
  <c r="F242" i="34" s="1"/>
  <c r="E241" i="34"/>
  <c r="D241" i="34"/>
  <c r="C241" i="34"/>
  <c r="C240" i="34"/>
  <c r="C237" i="34"/>
  <c r="G236" i="34"/>
  <c r="G242" i="34" s="1"/>
  <c r="F236" i="34"/>
  <c r="E236" i="34"/>
  <c r="E242" i="34" s="1"/>
  <c r="D236" i="34"/>
  <c r="D242" i="34" s="1"/>
  <c r="K235" i="34"/>
  <c r="C235" i="34"/>
  <c r="C236" i="34" s="1"/>
  <c r="K234" i="34"/>
  <c r="K233" i="34"/>
  <c r="K232" i="34"/>
  <c r="K231" i="34"/>
  <c r="K230" i="34"/>
  <c r="H230" i="34"/>
  <c r="K229" i="34"/>
  <c r="K228" i="34"/>
  <c r="K227" i="34"/>
  <c r="H227" i="34"/>
  <c r="K226" i="34"/>
  <c r="K225" i="34"/>
  <c r="K224" i="34"/>
  <c r="K223" i="34"/>
  <c r="K222" i="34"/>
  <c r="K221" i="34"/>
  <c r="K220" i="34"/>
  <c r="K219" i="34"/>
  <c r="K218" i="34"/>
  <c r="K217" i="34"/>
  <c r="H216" i="34"/>
  <c r="E209" i="34"/>
  <c r="D209" i="34"/>
  <c r="E207" i="34"/>
  <c r="D207" i="34"/>
  <c r="E206" i="34"/>
  <c r="D206" i="34"/>
  <c r="E205" i="34"/>
  <c r="D205" i="34"/>
  <c r="E204" i="34"/>
  <c r="D204" i="34"/>
  <c r="E202" i="34"/>
  <c r="D202" i="34"/>
  <c r="E195" i="34"/>
  <c r="F185" i="34"/>
  <c r="E185" i="34"/>
  <c r="F184" i="34"/>
  <c r="G177" i="34"/>
  <c r="F177" i="34"/>
  <c r="E177" i="34"/>
  <c r="D177" i="34"/>
  <c r="C173" i="34"/>
  <c r="G172" i="34"/>
  <c r="G186" i="34" s="1"/>
  <c r="F172" i="34"/>
  <c r="F186" i="34" s="1"/>
  <c r="G171" i="34"/>
  <c r="G185" i="34" s="1"/>
  <c r="F171" i="34"/>
  <c r="E171" i="34"/>
  <c r="D171" i="34"/>
  <c r="D185" i="34" s="1"/>
  <c r="E170" i="34"/>
  <c r="E184" i="34" s="1"/>
  <c r="C168" i="34"/>
  <c r="C174" i="34" s="1"/>
  <c r="E166" i="34"/>
  <c r="D166" i="34"/>
  <c r="D164" i="34"/>
  <c r="E163" i="34"/>
  <c r="G160" i="34"/>
  <c r="G173" i="34" s="1"/>
  <c r="G187" i="34" s="1"/>
  <c r="F160" i="34"/>
  <c r="F173" i="34" s="1"/>
  <c r="E160" i="34"/>
  <c r="E197" i="34" s="1"/>
  <c r="D160" i="34"/>
  <c r="D197" i="34" s="1"/>
  <c r="G158" i="34"/>
  <c r="F158" i="34"/>
  <c r="E158" i="34"/>
  <c r="D157" i="34"/>
  <c r="D195" i="34" s="1"/>
  <c r="G156" i="34"/>
  <c r="F156" i="34"/>
  <c r="E156" i="34"/>
  <c r="E194" i="34" s="1"/>
  <c r="D156" i="34"/>
  <c r="D194" i="34" s="1"/>
  <c r="P155" i="34"/>
  <c r="G155" i="34"/>
  <c r="G169" i="34" s="1"/>
  <c r="F155" i="34"/>
  <c r="E155" i="34"/>
  <c r="E193" i="34" s="1"/>
  <c r="D155" i="34"/>
  <c r="D193" i="34" s="1"/>
  <c r="G136" i="34"/>
  <c r="F136" i="34"/>
  <c r="E136" i="34"/>
  <c r="D136" i="34"/>
  <c r="C136" i="34"/>
  <c r="G135" i="34"/>
  <c r="F135" i="34"/>
  <c r="E135" i="34"/>
  <c r="D135" i="34"/>
  <c r="C135" i="34"/>
  <c r="B135" i="34"/>
  <c r="G134" i="34"/>
  <c r="F134" i="34"/>
  <c r="E134" i="34"/>
  <c r="D134" i="34"/>
  <c r="C134" i="34"/>
  <c r="G133" i="34"/>
  <c r="F133" i="34"/>
  <c r="E133" i="34"/>
  <c r="C133" i="34"/>
  <c r="G131" i="34"/>
  <c r="F131" i="34"/>
  <c r="E131" i="34"/>
  <c r="D131" i="34"/>
  <c r="C131" i="34"/>
  <c r="G130" i="34"/>
  <c r="F130" i="34"/>
  <c r="E130" i="34"/>
  <c r="D130" i="34"/>
  <c r="C130" i="34"/>
  <c r="G129" i="34"/>
  <c r="F129" i="34"/>
  <c r="E129" i="34"/>
  <c r="D129" i="34"/>
  <c r="C129" i="34"/>
  <c r="C127" i="34"/>
  <c r="G126" i="34"/>
  <c r="F126" i="34"/>
  <c r="E126" i="34"/>
  <c r="D126" i="34"/>
  <c r="C126" i="34"/>
  <c r="G125" i="34"/>
  <c r="F125" i="34"/>
  <c r="E125" i="34"/>
  <c r="D125" i="34"/>
  <c r="C125" i="34"/>
  <c r="G123" i="34"/>
  <c r="G127" i="34" s="1"/>
  <c r="C123" i="34"/>
  <c r="G119" i="34"/>
  <c r="G120" i="34" s="1"/>
  <c r="F119" i="34"/>
  <c r="E119" i="34"/>
  <c r="E201" i="34" s="1"/>
  <c r="D119" i="34"/>
  <c r="D201" i="34" s="1"/>
  <c r="C119" i="34"/>
  <c r="G118" i="34"/>
  <c r="F118" i="34"/>
  <c r="E118" i="34"/>
  <c r="E249" i="34" s="1"/>
  <c r="E250" i="34" s="1"/>
  <c r="D118" i="34"/>
  <c r="D249" i="34" s="1"/>
  <c r="D250" i="34" s="1"/>
  <c r="G117" i="34"/>
  <c r="F117" i="34"/>
  <c r="F120" i="34" s="1"/>
  <c r="E117" i="34"/>
  <c r="E120" i="34" s="1"/>
  <c r="D117" i="34"/>
  <c r="C117" i="34"/>
  <c r="C105" i="34"/>
  <c r="C106" i="34" s="1"/>
  <c r="D102" i="34"/>
  <c r="G95" i="34"/>
  <c r="F95" i="34"/>
  <c r="E95" i="34"/>
  <c r="D95" i="34"/>
  <c r="G89" i="34"/>
  <c r="F89" i="34"/>
  <c r="E89" i="34"/>
  <c r="D89" i="34"/>
  <c r="G88" i="34"/>
  <c r="F88" i="34"/>
  <c r="E88" i="34"/>
  <c r="D88" i="34"/>
  <c r="G87" i="34"/>
  <c r="F87" i="34"/>
  <c r="E87" i="34"/>
  <c r="F86" i="34"/>
  <c r="G85" i="34"/>
  <c r="F85" i="34"/>
  <c r="E85" i="34"/>
  <c r="G83" i="34"/>
  <c r="F83" i="34"/>
  <c r="E83" i="34"/>
  <c r="G81" i="34"/>
  <c r="F81" i="34"/>
  <c r="E81" i="34"/>
  <c r="F73" i="34"/>
  <c r="E73" i="34"/>
  <c r="G68" i="34"/>
  <c r="G184" i="34" s="1"/>
  <c r="F68" i="34"/>
  <c r="E68" i="34"/>
  <c r="D68" i="34"/>
  <c r="D184" i="34" s="1"/>
  <c r="G67" i="34"/>
  <c r="G86" i="34" s="1"/>
  <c r="F67" i="34"/>
  <c r="E67" i="34"/>
  <c r="E86" i="34" s="1"/>
  <c r="D67" i="34"/>
  <c r="D86" i="34" s="1"/>
  <c r="G66" i="34"/>
  <c r="F66" i="34"/>
  <c r="E66" i="34"/>
  <c r="D66" i="34"/>
  <c r="D85" i="34" s="1"/>
  <c r="G65" i="34"/>
  <c r="F65" i="34"/>
  <c r="E65" i="34"/>
  <c r="E84" i="34" s="1"/>
  <c r="D65" i="34"/>
  <c r="D99" i="34" s="1"/>
  <c r="E99" i="34" s="1"/>
  <c r="F99" i="34" s="1"/>
  <c r="G64" i="34"/>
  <c r="F64" i="34"/>
  <c r="E64" i="34"/>
  <c r="E172" i="34" s="1"/>
  <c r="E186" i="34" s="1"/>
  <c r="D64" i="34"/>
  <c r="D172" i="34" s="1"/>
  <c r="D186" i="34" s="1"/>
  <c r="G62" i="34"/>
  <c r="F62" i="34"/>
  <c r="E62" i="34"/>
  <c r="D62" i="34"/>
  <c r="D81" i="34" s="1"/>
  <c r="G61" i="34"/>
  <c r="G80" i="34" s="1"/>
  <c r="E61" i="34"/>
  <c r="E80" i="34" s="1"/>
  <c r="D61" i="34"/>
  <c r="D173" i="34" s="1"/>
  <c r="D187" i="34" s="1"/>
  <c r="C59" i="34"/>
  <c r="C71" i="34" s="1"/>
  <c r="D59" i="34" s="1"/>
  <c r="C50" i="34"/>
  <c r="C49" i="34"/>
  <c r="C48" i="34"/>
  <c r="C47" i="34"/>
  <c r="G37" i="34"/>
  <c r="G138" i="34" s="1"/>
  <c r="F37" i="34"/>
  <c r="F138" i="34" s="1"/>
  <c r="E37" i="34"/>
  <c r="C52" i="34" s="1"/>
  <c r="C37" i="34"/>
  <c r="D37" i="34" s="1"/>
  <c r="AC36" i="34"/>
  <c r="AB36" i="34"/>
  <c r="AA36" i="34"/>
  <c r="Z36" i="34"/>
  <c r="Y36" i="34"/>
  <c r="AC35" i="34"/>
  <c r="AJ35" i="34" s="1"/>
  <c r="AB35" i="34"/>
  <c r="AI35" i="34" s="1"/>
  <c r="AA35" i="34"/>
  <c r="AH35" i="34" s="1"/>
  <c r="Z35" i="34"/>
  <c r="AG35" i="34" s="1"/>
  <c r="Y35" i="34"/>
  <c r="AF35" i="34" s="1"/>
  <c r="AF34" i="34"/>
  <c r="AC34" i="34"/>
  <c r="AJ34" i="34" s="1"/>
  <c r="AB34" i="34"/>
  <c r="AI34" i="34" s="1"/>
  <c r="AA34" i="34"/>
  <c r="AH34" i="34" s="1"/>
  <c r="Z34" i="34"/>
  <c r="AG34" i="34" s="1"/>
  <c r="Y34" i="34"/>
  <c r="AH33" i="34"/>
  <c r="AG33" i="34"/>
  <c r="AC33" i="34"/>
  <c r="AJ33" i="34" s="1"/>
  <c r="AB33" i="34"/>
  <c r="AI33" i="34" s="1"/>
  <c r="AA33" i="34"/>
  <c r="Z33" i="34"/>
  <c r="Y33" i="34"/>
  <c r="AF33" i="34" s="1"/>
  <c r="AK32" i="34"/>
  <c r="AJ32" i="34"/>
  <c r="AD32" i="34"/>
  <c r="AC32" i="34"/>
  <c r="AB32" i="34"/>
  <c r="AI32" i="34" s="1"/>
  <c r="AA32" i="34"/>
  <c r="AH32" i="34" s="1"/>
  <c r="Z32" i="34"/>
  <c r="AG32" i="34" s="1"/>
  <c r="H32" i="34"/>
  <c r="D32" i="34"/>
  <c r="D133" i="34" s="1"/>
  <c r="AD31" i="34"/>
  <c r="AC31" i="34"/>
  <c r="AB31" i="34"/>
  <c r="AA31" i="34"/>
  <c r="Z31" i="34"/>
  <c r="AH30" i="34"/>
  <c r="AG30" i="34"/>
  <c r="AD30" i="34"/>
  <c r="AK30" i="34" s="1"/>
  <c r="AC30" i="34"/>
  <c r="AJ30" i="34" s="1"/>
  <c r="AB30" i="34"/>
  <c r="AI30" i="34" s="1"/>
  <c r="AA30" i="34"/>
  <c r="Z30" i="34"/>
  <c r="I30" i="34"/>
  <c r="AK29" i="34"/>
  <c r="AJ29" i="34"/>
  <c r="AD29" i="34"/>
  <c r="AC29" i="34"/>
  <c r="AB29" i="34"/>
  <c r="AI29" i="34" s="1"/>
  <c r="AA29" i="34"/>
  <c r="AH29" i="34" s="1"/>
  <c r="Z29" i="34"/>
  <c r="AG29" i="34" s="1"/>
  <c r="H29" i="34"/>
  <c r="AD28" i="34"/>
  <c r="AK28" i="34" s="1"/>
  <c r="AC28" i="34"/>
  <c r="AJ28" i="34" s="1"/>
  <c r="AB28" i="34"/>
  <c r="AI28" i="34" s="1"/>
  <c r="AA28" i="34"/>
  <c r="AH28" i="34" s="1"/>
  <c r="Z28" i="34"/>
  <c r="AG28" i="34" s="1"/>
  <c r="H28" i="34"/>
  <c r="AQ27" i="34"/>
  <c r="AM27" i="34"/>
  <c r="AT27" i="34" s="1"/>
  <c r="AL27" i="34"/>
  <c r="AK27" i="34"/>
  <c r="AJ27" i="34"/>
  <c r="AI27" i="34"/>
  <c r="AP27" i="34" s="1"/>
  <c r="G27" i="34"/>
  <c r="D27" i="34"/>
  <c r="C27" i="34"/>
  <c r="AR26" i="34"/>
  <c r="AQ26" i="34"/>
  <c r="AM26" i="34"/>
  <c r="AT26" i="34" s="1"/>
  <c r="AL26" i="34"/>
  <c r="AS26" i="34" s="1"/>
  <c r="AK26" i="34"/>
  <c r="AJ26" i="34"/>
  <c r="AI26" i="34"/>
  <c r="AP26" i="34" s="1"/>
  <c r="AT25" i="34"/>
  <c r="AS25" i="34"/>
  <c r="AM25" i="34"/>
  <c r="AL25" i="34"/>
  <c r="AK25" i="34"/>
  <c r="AR25" i="34" s="1"/>
  <c r="AJ25" i="34"/>
  <c r="AQ25" i="34" s="1"/>
  <c r="AI25" i="34"/>
  <c r="AP25" i="34" s="1"/>
  <c r="AQ24" i="34"/>
  <c r="AM24" i="34"/>
  <c r="AT24" i="34" s="1"/>
  <c r="AL24" i="34"/>
  <c r="AS24" i="34" s="1"/>
  <c r="AK24" i="34"/>
  <c r="AR24" i="34" s="1"/>
  <c r="AJ24" i="34"/>
  <c r="AI24" i="34"/>
  <c r="AP24" i="34" s="1"/>
  <c r="J24" i="34"/>
  <c r="AQ23" i="34"/>
  <c r="AP23" i="34"/>
  <c r="AM23" i="34"/>
  <c r="AL23" i="34"/>
  <c r="AS23" i="34" s="1"/>
  <c r="AK23" i="34"/>
  <c r="AR23" i="34" s="1"/>
  <c r="AJ23" i="34"/>
  <c r="AI23" i="34"/>
  <c r="G23" i="34"/>
  <c r="AT23" i="34" s="1"/>
  <c r="F23" i="34"/>
  <c r="F123" i="34" s="1"/>
  <c r="F127" i="34" s="1"/>
  <c r="E23" i="34"/>
  <c r="E27" i="34" s="1"/>
  <c r="D23" i="34"/>
  <c r="D123" i="34" s="1"/>
  <c r="D127" i="34" s="1"/>
  <c r="AM22" i="34"/>
  <c r="AT22" i="34" s="1"/>
  <c r="AL22" i="34"/>
  <c r="AS22" i="34" s="1"/>
  <c r="AK22" i="34"/>
  <c r="AJ22" i="34"/>
  <c r="AQ22" i="34" s="1"/>
  <c r="AI22" i="34"/>
  <c r="G22" i="34"/>
  <c r="F22" i="34"/>
  <c r="E22" i="34"/>
  <c r="AR22" i="34" s="1"/>
  <c r="D22" i="34"/>
  <c r="AR21" i="34"/>
  <c r="AM21" i="34"/>
  <c r="AT21" i="34" s="1"/>
  <c r="AL21" i="34"/>
  <c r="AS21" i="34" s="1"/>
  <c r="AK21" i="34"/>
  <c r="AJ21" i="34"/>
  <c r="AQ21" i="34" s="1"/>
  <c r="AI21" i="34"/>
  <c r="AP21" i="34" s="1"/>
  <c r="AT20" i="34"/>
  <c r="AQ20" i="34"/>
  <c r="AP20" i="34"/>
  <c r="AM20" i="34"/>
  <c r="AL20" i="34"/>
  <c r="AS20" i="34" s="1"/>
  <c r="AK20" i="34"/>
  <c r="AR20" i="34" s="1"/>
  <c r="AJ20" i="34"/>
  <c r="AI20" i="34"/>
  <c r="C20" i="34"/>
  <c r="C118" i="34" s="1"/>
  <c r="C120" i="34" s="1"/>
  <c r="C128" i="34" s="1"/>
  <c r="C132" i="34" s="1"/>
  <c r="AT19" i="34"/>
  <c r="AS19" i="34"/>
  <c r="AM19" i="34"/>
  <c r="AL19" i="34"/>
  <c r="AK19" i="34"/>
  <c r="AR19" i="34" s="1"/>
  <c r="AJ19" i="34"/>
  <c r="AQ19" i="34" s="1"/>
  <c r="AI19" i="34"/>
  <c r="AP19" i="34" s="1"/>
  <c r="AQ18" i="34"/>
  <c r="AM18" i="34"/>
  <c r="AT18" i="34" s="1"/>
  <c r="AL18" i="34"/>
  <c r="AS18" i="34" s="1"/>
  <c r="AK18" i="34"/>
  <c r="AR18" i="34" s="1"/>
  <c r="AJ18" i="34"/>
  <c r="AI18" i="34"/>
  <c r="AP18" i="34" s="1"/>
  <c r="AP17" i="34"/>
  <c r="AM17" i="34"/>
  <c r="AT17" i="34" s="1"/>
  <c r="AL17" i="34"/>
  <c r="AK17" i="34"/>
  <c r="AR17" i="34" s="1"/>
  <c r="AJ17" i="34"/>
  <c r="AQ17" i="34" s="1"/>
  <c r="AI17" i="34"/>
  <c r="G17" i="34"/>
  <c r="F17" i="34"/>
  <c r="AS17" i="34" s="1"/>
  <c r="E17" i="34"/>
  <c r="D17" i="34"/>
  <c r="C17" i="34"/>
  <c r="AS16" i="34"/>
  <c r="AP16" i="34"/>
  <c r="AM16" i="34"/>
  <c r="AT16" i="34" s="1"/>
  <c r="AL16" i="34"/>
  <c r="AK16" i="34"/>
  <c r="AR16" i="34" s="1"/>
  <c r="AJ16" i="34"/>
  <c r="AQ16" i="34" s="1"/>
  <c r="AI16" i="34"/>
  <c r="O16" i="34"/>
  <c r="N16" i="34"/>
  <c r="K16" i="34"/>
  <c r="J16" i="34"/>
  <c r="AP15" i="34"/>
  <c r="AM15" i="34"/>
  <c r="AL15" i="34"/>
  <c r="AS15" i="34" s="1"/>
  <c r="AK15" i="34"/>
  <c r="AR15" i="34" s="1"/>
  <c r="AJ15" i="34"/>
  <c r="AI15" i="34"/>
  <c r="G15" i="34"/>
  <c r="AT15" i="34" s="1"/>
  <c r="F15" i="34"/>
  <c r="E15" i="34"/>
  <c r="E31" i="34" s="1"/>
  <c r="C15" i="34"/>
  <c r="AT14" i="34"/>
  <c r="AP14" i="34"/>
  <c r="AM14" i="34"/>
  <c r="AL14" i="34"/>
  <c r="AS14" i="34" s="1"/>
  <c r="AK14" i="34"/>
  <c r="AR14" i="34" s="1"/>
  <c r="AJ14" i="34"/>
  <c r="AI14" i="34"/>
  <c r="L14" i="34"/>
  <c r="P14" i="34" s="1"/>
  <c r="D14" i="34" s="1"/>
  <c r="AQ14" i="34" s="1"/>
  <c r="AM13" i="34"/>
  <c r="AT13" i="34" s="1"/>
  <c r="AL13" i="34"/>
  <c r="AS13" i="34" s="1"/>
  <c r="AK13" i="34"/>
  <c r="AR13" i="34" s="1"/>
  <c r="AJ13" i="34"/>
  <c r="AI13" i="34"/>
  <c r="AP13" i="34" s="1"/>
  <c r="P13" i="34"/>
  <c r="D13" i="34" s="1"/>
  <c r="AQ13" i="34" s="1"/>
  <c r="L13" i="34"/>
  <c r="AS12" i="34"/>
  <c r="AR12" i="34"/>
  <c r="AM12" i="34"/>
  <c r="AT12" i="34" s="1"/>
  <c r="AL12" i="34"/>
  <c r="AK12" i="34"/>
  <c r="AJ12" i="34"/>
  <c r="AI12" i="34"/>
  <c r="AP12" i="34" s="1"/>
  <c r="P12" i="34"/>
  <c r="D12" i="34" s="1"/>
  <c r="L12" i="34"/>
  <c r="AS11" i="34"/>
  <c r="AP11" i="34"/>
  <c r="AM11" i="34"/>
  <c r="AT11" i="34" s="1"/>
  <c r="AL11" i="34"/>
  <c r="AK11" i="34"/>
  <c r="AR11" i="34" s="1"/>
  <c r="AJ11" i="34"/>
  <c r="AQ11" i="34" s="1"/>
  <c r="AI11" i="34"/>
  <c r="L11" i="34"/>
  <c r="P11" i="34" s="1"/>
  <c r="D11" i="34" s="1"/>
  <c r="AT10" i="34"/>
  <c r="AP10" i="34"/>
  <c r="AM10" i="34"/>
  <c r="AL10" i="34"/>
  <c r="AS10" i="34" s="1"/>
  <c r="AK10" i="34"/>
  <c r="AR10" i="34" s="1"/>
  <c r="AJ10" i="34"/>
  <c r="AQ10" i="34" s="1"/>
  <c r="AI10" i="34"/>
  <c r="L10" i="34"/>
  <c r="P10" i="34" s="1"/>
  <c r="D10" i="34" s="1"/>
  <c r="AR9" i="34"/>
  <c r="AM9" i="34"/>
  <c r="AT9" i="34" s="1"/>
  <c r="AL9" i="34"/>
  <c r="AS9" i="34" s="1"/>
  <c r="AK9" i="34"/>
  <c r="AJ9" i="34"/>
  <c r="AI9" i="34"/>
  <c r="AP9" i="34" s="1"/>
  <c r="M9" i="34"/>
  <c r="P9" i="34" s="1"/>
  <c r="D9" i="34" s="1"/>
  <c r="AQ9" i="34" s="1"/>
  <c r="L9" i="34"/>
  <c r="AS8" i="34"/>
  <c r="AP8" i="34"/>
  <c r="AM8" i="34"/>
  <c r="AT8" i="34" s="1"/>
  <c r="AL8" i="34"/>
  <c r="AK8" i="34"/>
  <c r="AR8" i="34" s="1"/>
  <c r="AJ8" i="34"/>
  <c r="AQ8" i="34" s="1"/>
  <c r="AI8" i="34"/>
  <c r="M8" i="34"/>
  <c r="L8" i="34"/>
  <c r="P8" i="34" s="1"/>
  <c r="D8" i="34" s="1"/>
  <c r="AM7" i="34"/>
  <c r="AT7" i="34" s="1"/>
  <c r="AL7" i="34"/>
  <c r="AS7" i="34" s="1"/>
  <c r="AK7" i="34"/>
  <c r="AR7" i="34" s="1"/>
  <c r="AJ7" i="34"/>
  <c r="AI7" i="34"/>
  <c r="AP7" i="34" s="1"/>
  <c r="P7" i="34"/>
  <c r="M7" i="34"/>
  <c r="L7" i="34"/>
  <c r="L16" i="34" s="1"/>
  <c r="E10" i="36" l="1"/>
  <c r="F7" i="36"/>
  <c r="K4" i="36"/>
  <c r="F8" i="36"/>
  <c r="K8" i="36"/>
  <c r="C10" i="36"/>
  <c r="D10" i="36"/>
  <c r="K10" i="36"/>
  <c r="J10" i="36"/>
  <c r="I10" i="36"/>
  <c r="F4" i="36"/>
  <c r="H10" i="36"/>
  <c r="G183" i="34"/>
  <c r="G63" i="34"/>
  <c r="D169" i="34"/>
  <c r="F168" i="34"/>
  <c r="G168" i="34"/>
  <c r="G174" i="34" s="1"/>
  <c r="G178" i="34" s="1"/>
  <c r="G180" i="34" s="1"/>
  <c r="C178" i="34"/>
  <c r="C180" i="34" s="1"/>
  <c r="C181" i="34"/>
  <c r="D72" i="34"/>
  <c r="L121" i="34"/>
  <c r="G128" i="34"/>
  <c r="G132" i="34" s="1"/>
  <c r="C242" i="34"/>
  <c r="H236" i="34"/>
  <c r="P16" i="34"/>
  <c r="AQ12" i="34"/>
  <c r="AS27" i="34"/>
  <c r="C249" i="34"/>
  <c r="C250" i="34" s="1"/>
  <c r="H27" i="34"/>
  <c r="AR27" i="34"/>
  <c r="AI31" i="34"/>
  <c r="AH36" i="34"/>
  <c r="E39" i="34"/>
  <c r="E36" i="34"/>
  <c r="E137" i="34" s="1"/>
  <c r="H120" i="34"/>
  <c r="AK31" i="34"/>
  <c r="G99" i="34"/>
  <c r="G84" i="34" s="1"/>
  <c r="F84" i="34"/>
  <c r="F128" i="34"/>
  <c r="F132" i="34" s="1"/>
  <c r="K121" i="34"/>
  <c r="C22" i="34"/>
  <c r="C31" i="34" s="1"/>
  <c r="F27" i="34"/>
  <c r="F31" i="34" s="1"/>
  <c r="F61" i="34"/>
  <c r="F80" i="34" s="1"/>
  <c r="D73" i="34"/>
  <c r="D83" i="34"/>
  <c r="D87" i="34"/>
  <c r="F169" i="34"/>
  <c r="M16" i="34"/>
  <c r="H15" i="34"/>
  <c r="G73" i="34"/>
  <c r="D120" i="34"/>
  <c r="D128" i="34" s="1"/>
  <c r="D132" i="34" s="1"/>
  <c r="E168" i="34"/>
  <c r="K236" i="34"/>
  <c r="E318" i="34"/>
  <c r="G31" i="34"/>
  <c r="D7" i="34"/>
  <c r="H17" i="34"/>
  <c r="D80" i="34"/>
  <c r="D84" i="34"/>
  <c r="E123" i="34"/>
  <c r="E127" i="34" s="1"/>
  <c r="E128" i="34" s="1"/>
  <c r="C138" i="34"/>
  <c r="D138" i="34"/>
  <c r="E173" i="34"/>
  <c r="E187" i="34" s="1"/>
  <c r="E138" i="34"/>
  <c r="E139" i="34" s="1"/>
  <c r="E38" i="34"/>
  <c r="E169" i="34"/>
  <c r="F10" i="36" l="1"/>
  <c r="D183" i="34"/>
  <c r="D63" i="34"/>
  <c r="C36" i="34"/>
  <c r="C39" i="34"/>
  <c r="AG31" i="34"/>
  <c r="H31" i="34"/>
  <c r="I32" i="34" s="1"/>
  <c r="F36" i="34"/>
  <c r="AJ31" i="34"/>
  <c r="E132" i="34"/>
  <c r="H128" i="34"/>
  <c r="G39" i="34"/>
  <c r="G36" i="34"/>
  <c r="AP22" i="34"/>
  <c r="C46" i="34"/>
  <c r="G181" i="34"/>
  <c r="F183" i="34"/>
  <c r="F63" i="34"/>
  <c r="F187" i="34"/>
  <c r="H22" i="34"/>
  <c r="E174" i="34"/>
  <c r="E63" i="34"/>
  <c r="E183" i="34" s="1"/>
  <c r="D15" i="34"/>
  <c r="AQ7" i="34"/>
  <c r="F174" i="34"/>
  <c r="D97" i="34" l="1"/>
  <c r="D82" i="34"/>
  <c r="D71" i="34"/>
  <c r="E59" i="34" s="1"/>
  <c r="E72" i="34" s="1"/>
  <c r="D31" i="34"/>
  <c r="AQ15" i="34"/>
  <c r="E140" i="34"/>
  <c r="H132" i="34"/>
  <c r="F137" i="34"/>
  <c r="AI36" i="34"/>
  <c r="F38" i="34"/>
  <c r="F39" i="34"/>
  <c r="E178" i="34"/>
  <c r="E180" i="34" s="1"/>
  <c r="F178" i="34"/>
  <c r="F180" i="34" s="1"/>
  <c r="G38" i="34"/>
  <c r="G137" i="34"/>
  <c r="AJ36" i="34"/>
  <c r="C44" i="34"/>
  <c r="C137" i="34"/>
  <c r="C38" i="34"/>
  <c r="AF36" i="34"/>
  <c r="E71" i="34" l="1"/>
  <c r="F59" i="34" s="1"/>
  <c r="F71" i="34" s="1"/>
  <c r="G59" i="34" s="1"/>
  <c r="E97" i="34"/>
  <c r="D105" i="34"/>
  <c r="D106" i="34" s="1"/>
  <c r="F181" i="34"/>
  <c r="D44" i="34"/>
  <c r="C51" i="34"/>
  <c r="C53" i="34" s="1"/>
  <c r="F139" i="34"/>
  <c r="F140" i="34"/>
  <c r="C140" i="34"/>
  <c r="C139" i="34"/>
  <c r="H137" i="34"/>
  <c r="E181" i="34"/>
  <c r="G139" i="34"/>
  <c r="G140" i="34"/>
  <c r="D39" i="34"/>
  <c r="D36" i="34"/>
  <c r="AH31" i="34"/>
  <c r="F72" i="34" l="1"/>
  <c r="E105" i="34"/>
  <c r="E106" i="34" s="1"/>
  <c r="F97" i="34"/>
  <c r="E82" i="34"/>
  <c r="D137" i="34"/>
  <c r="D38" i="34"/>
  <c r="AG36" i="34"/>
  <c r="G72" i="34"/>
  <c r="G71" i="34"/>
  <c r="H71" i="34" s="1"/>
  <c r="F82" i="34" l="1"/>
  <c r="F105" i="34"/>
  <c r="F106" i="34" s="1"/>
  <c r="G97" i="34"/>
  <c r="D140" i="34"/>
  <c r="D139" i="34"/>
  <c r="G105" i="34" l="1"/>
  <c r="G106" i="34" s="1"/>
  <c r="G82" i="34"/>
  <c r="C328" i="32"/>
  <c r="G327" i="32"/>
  <c r="G328" i="32" s="1"/>
  <c r="F327" i="32"/>
  <c r="F328" i="32" s="1"/>
  <c r="G326" i="32"/>
  <c r="F326" i="32"/>
  <c r="D326" i="32"/>
  <c r="D327" i="32" s="1"/>
  <c r="D328" i="32" s="1"/>
  <c r="C326" i="32"/>
  <c r="E326" i="32" s="1"/>
  <c r="G325" i="32"/>
  <c r="F325" i="32"/>
  <c r="D325" i="32"/>
  <c r="C325" i="32"/>
  <c r="C327" i="32" s="1"/>
  <c r="E324" i="32"/>
  <c r="E323" i="32"/>
  <c r="E322" i="32"/>
  <c r="E321" i="32"/>
  <c r="E320" i="32"/>
  <c r="E319" i="32"/>
  <c r="E318" i="32"/>
  <c r="E317" i="32"/>
  <c r="E316" i="32"/>
  <c r="E315" i="32"/>
  <c r="E314" i="32"/>
  <c r="E313" i="32"/>
  <c r="E312" i="32"/>
  <c r="E311" i="32"/>
  <c r="E310" i="32"/>
  <c r="E309" i="32"/>
  <c r="E308" i="32"/>
  <c r="E307" i="32"/>
  <c r="E306" i="32"/>
  <c r="E303" i="32"/>
  <c r="E302" i="32"/>
  <c r="E301" i="32"/>
  <c r="E300" i="32"/>
  <c r="E299" i="32"/>
  <c r="E298" i="32"/>
  <c r="E297" i="32"/>
  <c r="E296" i="32"/>
  <c r="E293" i="32"/>
  <c r="E292" i="32"/>
  <c r="E291" i="32"/>
  <c r="E290" i="32"/>
  <c r="E289" i="32"/>
  <c r="E288" i="32"/>
  <c r="E287" i="32"/>
  <c r="E286" i="32"/>
  <c r="E285" i="32"/>
  <c r="G276" i="32"/>
  <c r="F276" i="32"/>
  <c r="E276" i="32"/>
  <c r="D276" i="32"/>
  <c r="C276" i="32"/>
  <c r="G267" i="32"/>
  <c r="F267" i="32"/>
  <c r="E267" i="32"/>
  <c r="D267" i="32"/>
  <c r="C267" i="32"/>
  <c r="G249" i="32"/>
  <c r="F249" i="32"/>
  <c r="E249" i="32"/>
  <c r="D249" i="32"/>
  <c r="C248" i="32"/>
  <c r="C245" i="32"/>
  <c r="C249" i="32" s="1"/>
  <c r="C250" i="32" s="1"/>
  <c r="G244" i="32"/>
  <c r="G250" i="32" s="1"/>
  <c r="F244" i="32"/>
  <c r="F250" i="32" s="1"/>
  <c r="E244" i="32"/>
  <c r="E250" i="32" s="1"/>
  <c r="D244" i="32"/>
  <c r="D250" i="32" s="1"/>
  <c r="C244" i="32"/>
  <c r="K243" i="32"/>
  <c r="C243" i="32"/>
  <c r="K242" i="32"/>
  <c r="K241" i="32"/>
  <c r="K240" i="32"/>
  <c r="K239" i="32"/>
  <c r="K238" i="32"/>
  <c r="H238" i="32"/>
  <c r="K237" i="32"/>
  <c r="K236" i="32"/>
  <c r="K235" i="32"/>
  <c r="H235" i="32"/>
  <c r="K234" i="32"/>
  <c r="K233" i="32"/>
  <c r="K232" i="32"/>
  <c r="K231" i="32"/>
  <c r="K230" i="32"/>
  <c r="K229" i="32"/>
  <c r="K228" i="32"/>
  <c r="K227" i="32"/>
  <c r="K226" i="32"/>
  <c r="K225" i="32"/>
  <c r="K224" i="32"/>
  <c r="H224" i="32"/>
  <c r="E217" i="32"/>
  <c r="D217" i="32"/>
  <c r="E215" i="32"/>
  <c r="D215" i="32"/>
  <c r="E214" i="32"/>
  <c r="D214" i="32"/>
  <c r="E213" i="32"/>
  <c r="D213" i="32"/>
  <c r="E212" i="32"/>
  <c r="D212" i="32"/>
  <c r="E210" i="32"/>
  <c r="D210" i="32"/>
  <c r="E203" i="32"/>
  <c r="D203" i="32"/>
  <c r="F193" i="32"/>
  <c r="E193" i="32"/>
  <c r="G192" i="32"/>
  <c r="G185" i="32"/>
  <c r="F185" i="32"/>
  <c r="E185" i="32"/>
  <c r="D185" i="32"/>
  <c r="G181" i="32"/>
  <c r="C181" i="32"/>
  <c r="F180" i="32"/>
  <c r="F194" i="32" s="1"/>
  <c r="D180" i="32"/>
  <c r="D194" i="32" s="1"/>
  <c r="G179" i="32"/>
  <c r="F179" i="32"/>
  <c r="E179" i="32"/>
  <c r="D179" i="32"/>
  <c r="D193" i="32" s="1"/>
  <c r="E178" i="32"/>
  <c r="E192" i="32" s="1"/>
  <c r="C176" i="32"/>
  <c r="C182" i="32" s="1"/>
  <c r="E174" i="32"/>
  <c r="D174" i="32"/>
  <c r="D172" i="32"/>
  <c r="E171" i="32"/>
  <c r="G168" i="32"/>
  <c r="F168" i="32"/>
  <c r="F181" i="32" s="1"/>
  <c r="E168" i="32"/>
  <c r="E205" i="32" s="1"/>
  <c r="D168" i="32"/>
  <c r="D205" i="32" s="1"/>
  <c r="G166" i="32"/>
  <c r="F166" i="32"/>
  <c r="E166" i="32"/>
  <c r="D165" i="32"/>
  <c r="G164" i="32"/>
  <c r="F164" i="32"/>
  <c r="F177" i="32" s="1"/>
  <c r="E164" i="32"/>
  <c r="E202" i="32" s="1"/>
  <c r="D164" i="32"/>
  <c r="D202" i="32" s="1"/>
  <c r="G163" i="32"/>
  <c r="G176" i="32" s="1"/>
  <c r="F163" i="32"/>
  <c r="F176" i="32" s="1"/>
  <c r="E163" i="32"/>
  <c r="E201" i="32" s="1"/>
  <c r="D163" i="32"/>
  <c r="D177" i="32" s="1"/>
  <c r="O162" i="32"/>
  <c r="G144" i="32"/>
  <c r="F144" i="32"/>
  <c r="E144" i="32"/>
  <c r="D144" i="32"/>
  <c r="C144" i="32"/>
  <c r="G143" i="32"/>
  <c r="F143" i="32"/>
  <c r="E143" i="32"/>
  <c r="D143" i="32"/>
  <c r="C143" i="32"/>
  <c r="B143" i="32"/>
  <c r="G142" i="32"/>
  <c r="F142" i="32"/>
  <c r="E142" i="32"/>
  <c r="D142" i="32"/>
  <c r="C142" i="32"/>
  <c r="G141" i="32"/>
  <c r="F141" i="32"/>
  <c r="E141" i="32"/>
  <c r="D141" i="32"/>
  <c r="C141" i="32"/>
  <c r="G139" i="32"/>
  <c r="F139" i="32"/>
  <c r="E139" i="32"/>
  <c r="D139" i="32"/>
  <c r="C139" i="32"/>
  <c r="G138" i="32"/>
  <c r="F138" i="32"/>
  <c r="E138" i="32"/>
  <c r="D138" i="32"/>
  <c r="C138" i="32"/>
  <c r="G137" i="32"/>
  <c r="F137" i="32"/>
  <c r="E137" i="32"/>
  <c r="D137" i="32"/>
  <c r="C137" i="32"/>
  <c r="D135" i="32"/>
  <c r="C135" i="32"/>
  <c r="G134" i="32"/>
  <c r="F134" i="32"/>
  <c r="E134" i="32"/>
  <c r="D134" i="32"/>
  <c r="C134" i="32"/>
  <c r="G133" i="32"/>
  <c r="F133" i="32"/>
  <c r="E133" i="32"/>
  <c r="E135" i="32" s="1"/>
  <c r="D133" i="32"/>
  <c r="C133" i="32"/>
  <c r="G131" i="32"/>
  <c r="G135" i="32" s="1"/>
  <c r="F131" i="32"/>
  <c r="F135" i="32" s="1"/>
  <c r="E131" i="32"/>
  <c r="D131" i="32"/>
  <c r="C131" i="32"/>
  <c r="C128" i="32"/>
  <c r="C136" i="32" s="1"/>
  <c r="C140" i="32" s="1"/>
  <c r="G127" i="32"/>
  <c r="F127" i="32"/>
  <c r="E127" i="32"/>
  <c r="E209" i="32" s="1"/>
  <c r="D127" i="32"/>
  <c r="D209" i="32" s="1"/>
  <c r="C127" i="32"/>
  <c r="G126" i="32"/>
  <c r="F126" i="32"/>
  <c r="E126" i="32"/>
  <c r="E257" i="32" s="1"/>
  <c r="E258" i="32" s="1"/>
  <c r="D126" i="32"/>
  <c r="D128" i="32" s="1"/>
  <c r="D136" i="32" s="1"/>
  <c r="D140" i="32" s="1"/>
  <c r="C126" i="32"/>
  <c r="G125" i="32"/>
  <c r="G128" i="32" s="1"/>
  <c r="F125" i="32"/>
  <c r="F128" i="32" s="1"/>
  <c r="E125" i="32"/>
  <c r="E128" i="32" s="1"/>
  <c r="D125" i="32"/>
  <c r="C125" i="32"/>
  <c r="C257" i="32" s="1"/>
  <c r="C258" i="32" s="1"/>
  <c r="C113" i="32"/>
  <c r="C114" i="32" s="1"/>
  <c r="D110" i="32"/>
  <c r="G103" i="32"/>
  <c r="G61" i="32" s="1"/>
  <c r="F103" i="32"/>
  <c r="E103" i="32"/>
  <c r="E61" i="32" s="1"/>
  <c r="E80" i="32" s="1"/>
  <c r="D103" i="32"/>
  <c r="G93" i="32"/>
  <c r="F93" i="32"/>
  <c r="E93" i="32"/>
  <c r="D93" i="32"/>
  <c r="G92" i="32"/>
  <c r="F92" i="32"/>
  <c r="E92" i="32"/>
  <c r="D92" i="32"/>
  <c r="G89" i="32"/>
  <c r="F89" i="32"/>
  <c r="E89" i="32"/>
  <c r="D89" i="32"/>
  <c r="G88" i="32"/>
  <c r="F88" i="32"/>
  <c r="E88" i="32"/>
  <c r="D88" i="32"/>
  <c r="G87" i="32"/>
  <c r="F87" i="32"/>
  <c r="E87" i="32"/>
  <c r="G85" i="32"/>
  <c r="F85" i="32"/>
  <c r="E85" i="32"/>
  <c r="G84" i="32"/>
  <c r="F84" i="32"/>
  <c r="E84" i="32"/>
  <c r="D84" i="32"/>
  <c r="F83" i="32"/>
  <c r="E83" i="32"/>
  <c r="D83" i="32"/>
  <c r="F81" i="32"/>
  <c r="E81" i="32"/>
  <c r="D81" i="32"/>
  <c r="G73" i="32"/>
  <c r="F73" i="32"/>
  <c r="E73" i="32"/>
  <c r="D73" i="32"/>
  <c r="G68" i="32"/>
  <c r="F68" i="32"/>
  <c r="F192" i="32" s="1"/>
  <c r="E68" i="32"/>
  <c r="D68" i="32"/>
  <c r="D192" i="32" s="1"/>
  <c r="G67" i="32"/>
  <c r="G86" i="32" s="1"/>
  <c r="F67" i="32"/>
  <c r="F86" i="32" s="1"/>
  <c r="E67" i="32"/>
  <c r="E86" i="32" s="1"/>
  <c r="D67" i="32"/>
  <c r="D86" i="32" s="1"/>
  <c r="G66" i="32"/>
  <c r="F66" i="32"/>
  <c r="E66" i="32"/>
  <c r="D66" i="32"/>
  <c r="D85" i="32" s="1"/>
  <c r="G64" i="32"/>
  <c r="G83" i="32" s="1"/>
  <c r="F64" i="32"/>
  <c r="E64" i="32"/>
  <c r="E180" i="32" s="1"/>
  <c r="E194" i="32" s="1"/>
  <c r="D64" i="32"/>
  <c r="G62" i="32"/>
  <c r="G81" i="32" s="1"/>
  <c r="F62" i="32"/>
  <c r="E62" i="32"/>
  <c r="D62" i="32"/>
  <c r="D61" i="32"/>
  <c r="D181" i="32" s="1"/>
  <c r="D195" i="32" s="1"/>
  <c r="C59" i="32"/>
  <c r="C71" i="32" s="1"/>
  <c r="D59" i="32" s="1"/>
  <c r="C50" i="32"/>
  <c r="C49" i="32"/>
  <c r="C48" i="32"/>
  <c r="C47" i="32"/>
  <c r="G37" i="32"/>
  <c r="F37" i="32"/>
  <c r="F146" i="32" s="1"/>
  <c r="E37" i="32"/>
  <c r="E146" i="32" s="1"/>
  <c r="C37" i="32"/>
  <c r="C146" i="32" s="1"/>
  <c r="H32" i="32"/>
  <c r="E31" i="32"/>
  <c r="H29" i="32"/>
  <c r="I29" i="32" s="1"/>
  <c r="H28" i="32"/>
  <c r="H27" i="32"/>
  <c r="G27" i="32"/>
  <c r="G31" i="32" s="1"/>
  <c r="F27" i="32"/>
  <c r="F31" i="32" s="1"/>
  <c r="E27" i="32"/>
  <c r="D27" i="32"/>
  <c r="C27" i="32"/>
  <c r="G22" i="32"/>
  <c r="F22" i="32"/>
  <c r="E22" i="32"/>
  <c r="C46" i="32" s="1"/>
  <c r="D22" i="32"/>
  <c r="C22" i="32"/>
  <c r="G17" i="32"/>
  <c r="F17" i="32"/>
  <c r="E17" i="32"/>
  <c r="D17" i="32"/>
  <c r="C17" i="32"/>
  <c r="C31" i="32" s="1"/>
  <c r="H15" i="32"/>
  <c r="G15" i="32"/>
  <c r="F15" i="32"/>
  <c r="E15" i="32"/>
  <c r="C15" i="32"/>
  <c r="D9" i="32"/>
  <c r="D15" i="32" s="1"/>
  <c r="D31" i="32" s="1"/>
  <c r="G177" i="32" l="1"/>
  <c r="G63" i="32" s="1"/>
  <c r="G94" i="32" s="1"/>
  <c r="D37" i="32"/>
  <c r="D146" i="32" s="1"/>
  <c r="C52" i="32"/>
  <c r="C36" i="32"/>
  <c r="C39" i="32"/>
  <c r="K128" i="32"/>
  <c r="F136" i="32"/>
  <c r="F140" i="32" s="1"/>
  <c r="F148" i="32" s="1"/>
  <c r="H31" i="32"/>
  <c r="I31" i="32" s="1"/>
  <c r="L128" i="32"/>
  <c r="G136" i="32"/>
  <c r="G140" i="32" s="1"/>
  <c r="G148" i="32" s="1"/>
  <c r="F63" i="32"/>
  <c r="F191" i="32" s="1"/>
  <c r="G80" i="32"/>
  <c r="G195" i="32"/>
  <c r="F195" i="32"/>
  <c r="F147" i="32"/>
  <c r="H128" i="32"/>
  <c r="E136" i="32"/>
  <c r="C186" i="32"/>
  <c r="C188" i="32" s="1"/>
  <c r="C189" i="32"/>
  <c r="D39" i="32"/>
  <c r="D36" i="32"/>
  <c r="D63" i="32"/>
  <c r="D191" i="32"/>
  <c r="E327" i="32"/>
  <c r="E328" i="32" s="1"/>
  <c r="G95" i="32"/>
  <c r="G97" i="32" s="1"/>
  <c r="F39" i="32"/>
  <c r="F36" i="32"/>
  <c r="F145" i="32" s="1"/>
  <c r="G39" i="32"/>
  <c r="G36" i="32"/>
  <c r="G145" i="32" s="1"/>
  <c r="D72" i="32"/>
  <c r="F182" i="32"/>
  <c r="G180" i="32"/>
  <c r="G194" i="32" s="1"/>
  <c r="E39" i="32"/>
  <c r="D87" i="32"/>
  <c r="G146" i="32"/>
  <c r="D257" i="32"/>
  <c r="D258" i="32" s="1"/>
  <c r="E36" i="32"/>
  <c r="E176" i="32"/>
  <c r="G191" i="32"/>
  <c r="G193" i="32"/>
  <c r="H244" i="32"/>
  <c r="F38" i="32"/>
  <c r="F61" i="32"/>
  <c r="F80" i="32" s="1"/>
  <c r="D80" i="32"/>
  <c r="D201" i="32"/>
  <c r="E181" i="32"/>
  <c r="E195" i="32" s="1"/>
  <c r="H22" i="32"/>
  <c r="E325" i="32"/>
  <c r="H17" i="32"/>
  <c r="E177" i="32"/>
  <c r="D145" i="32" l="1"/>
  <c r="D38" i="32"/>
  <c r="D105" i="32"/>
  <c r="D82" i="32" s="1"/>
  <c r="D94" i="32"/>
  <c r="D95" i="32" s="1"/>
  <c r="D97" i="32" s="1"/>
  <c r="E182" i="32"/>
  <c r="E38" i="32"/>
  <c r="E145" i="32"/>
  <c r="F186" i="32"/>
  <c r="F188" i="32" s="1"/>
  <c r="E140" i="32"/>
  <c r="H136" i="32"/>
  <c r="C44" i="32"/>
  <c r="C38" i="32"/>
  <c r="C145" i="32"/>
  <c r="E63" i="32"/>
  <c r="E191" i="32" s="1"/>
  <c r="G147" i="32"/>
  <c r="D71" i="32"/>
  <c r="E59" i="32" s="1"/>
  <c r="G182" i="32"/>
  <c r="F94" i="32"/>
  <c r="F95" i="32" s="1"/>
  <c r="F97" i="32" s="1"/>
  <c r="G38" i="32"/>
  <c r="E186" i="32" l="1"/>
  <c r="E188" i="32" s="1"/>
  <c r="E105" i="32"/>
  <c r="D113" i="32"/>
  <c r="D114" i="32" s="1"/>
  <c r="E72" i="32"/>
  <c r="E71" i="32"/>
  <c r="F59" i="32" s="1"/>
  <c r="F189" i="32"/>
  <c r="C51" i="32"/>
  <c r="C53" i="32" s="1"/>
  <c r="D44" i="32"/>
  <c r="G186" i="32"/>
  <c r="G188" i="32" s="1"/>
  <c r="E148" i="32"/>
  <c r="H140" i="32"/>
  <c r="H145" i="32"/>
  <c r="E147" i="32"/>
  <c r="E94" i="32"/>
  <c r="E95" i="32" s="1"/>
  <c r="E97" i="32" s="1"/>
  <c r="C147" i="32"/>
  <c r="C148" i="32"/>
  <c r="D147" i="32"/>
  <c r="D148" i="32"/>
  <c r="G189" i="32" l="1"/>
  <c r="F71" i="32"/>
  <c r="G59" i="32" s="1"/>
  <c r="F72" i="32"/>
  <c r="F105" i="32"/>
  <c r="E113" i="32"/>
  <c r="E114" i="32" s="1"/>
  <c r="E82" i="32"/>
  <c r="E189" i="32"/>
  <c r="G105" i="32" l="1"/>
  <c r="F113" i="32"/>
  <c r="F114" i="32" s="1"/>
  <c r="F82" i="32"/>
  <c r="G72" i="32"/>
  <c r="G71" i="32"/>
  <c r="H71" i="32" s="1"/>
  <c r="G113" i="32" l="1"/>
  <c r="G114" i="32" s="1"/>
  <c r="G82" i="32"/>
  <c r="D158" i="34" l="1"/>
  <c r="D168" i="34" s="1"/>
  <c r="D174" i="34" s="1"/>
  <c r="D166" i="32"/>
  <c r="D176" i="32" s="1"/>
  <c r="D182" i="32" s="1"/>
  <c r="E196" i="34"/>
  <c r="E210" i="34" s="1"/>
  <c r="E204" i="32"/>
  <c r="E218" i="32" s="1"/>
  <c r="D186" i="32" l="1"/>
  <c r="D188" i="32" s="1"/>
  <c r="D178" i="34"/>
  <c r="D180" i="34" s="1"/>
  <c r="D196" i="34"/>
  <c r="D210" i="34" s="1"/>
  <c r="D204" i="32"/>
  <c r="D218" i="32" s="1"/>
  <c r="D181" i="34" l="1"/>
  <c r="D189" i="32"/>
  <c r="N95" i="26" l="1"/>
  <c r="M95" i="26"/>
  <c r="L95" i="26"/>
  <c r="K95" i="26"/>
  <c r="J95" i="26"/>
  <c r="I95" i="26"/>
  <c r="H95" i="26"/>
  <c r="G95" i="26"/>
  <c r="O89" i="26"/>
  <c r="O88" i="26"/>
  <c r="O87" i="26"/>
  <c r="O86" i="26"/>
  <c r="O85" i="26"/>
  <c r="O84" i="26"/>
  <c r="O83" i="26"/>
  <c r="O82" i="26"/>
  <c r="O81" i="26"/>
  <c r="O80" i="26"/>
  <c r="O79" i="26"/>
  <c r="O78" i="26"/>
  <c r="O77" i="26"/>
  <c r="O76" i="26"/>
  <c r="O75" i="26"/>
  <c r="O74" i="26"/>
  <c r="O73" i="26"/>
  <c r="O72" i="26"/>
  <c r="O71" i="26"/>
  <c r="O70" i="26"/>
  <c r="O69" i="26"/>
  <c r="O68" i="26"/>
  <c r="O67" i="26"/>
  <c r="O66" i="26"/>
  <c r="O65" i="26"/>
  <c r="O64" i="26"/>
  <c r="O63" i="26"/>
  <c r="O62" i="26"/>
  <c r="O61" i="26"/>
  <c r="O60" i="26"/>
  <c r="O59" i="26"/>
  <c r="O58" i="26"/>
  <c r="O57" i="26"/>
  <c r="O56" i="26"/>
  <c r="O55" i="26"/>
  <c r="O54" i="26"/>
  <c r="O53" i="26"/>
  <c r="O52" i="26"/>
  <c r="O51" i="26"/>
  <c r="O50" i="26"/>
  <c r="O49" i="26"/>
  <c r="O48" i="26"/>
  <c r="O47" i="26"/>
  <c r="O46" i="26"/>
  <c r="O45" i="26"/>
  <c r="O44" i="26"/>
  <c r="O43" i="26"/>
  <c r="O42" i="26"/>
  <c r="O41" i="26"/>
  <c r="O40" i="26"/>
  <c r="O39" i="26"/>
  <c r="O38" i="26"/>
  <c r="O37" i="26"/>
  <c r="O36" i="26"/>
  <c r="O35" i="26"/>
  <c r="O34" i="26"/>
  <c r="O33" i="26"/>
  <c r="O32" i="26"/>
  <c r="O31" i="26"/>
  <c r="O30" i="26"/>
  <c r="O29" i="26"/>
  <c r="O28" i="26"/>
  <c r="O27" i="26"/>
  <c r="O26" i="26"/>
  <c r="O25" i="26"/>
  <c r="O24" i="26"/>
  <c r="O23" i="26"/>
  <c r="O22" i="26"/>
  <c r="O21" i="26"/>
  <c r="O20" i="26"/>
  <c r="O19" i="26"/>
  <c r="O18" i="26"/>
  <c r="O17" i="26"/>
  <c r="O16" i="26"/>
  <c r="O15" i="26"/>
  <c r="O14" i="26"/>
  <c r="O13" i="26"/>
  <c r="O12" i="26"/>
  <c r="O11" i="26"/>
  <c r="O10" i="26"/>
  <c r="O9" i="26"/>
  <c r="O8" i="26"/>
  <c r="O7" i="26"/>
  <c r="O6" i="26"/>
  <c r="O5" i="26"/>
  <c r="H45" i="20" l="1"/>
  <c r="G45" i="20"/>
  <c r="F45" i="20"/>
  <c r="E45" i="20"/>
  <c r="D45" i="20"/>
  <c r="C45" i="20"/>
  <c r="B45" i="20"/>
  <c r="E44" i="20"/>
  <c r="D44" i="20"/>
  <c r="H43" i="20"/>
  <c r="G43" i="20"/>
  <c r="E43" i="20"/>
  <c r="C43" i="20"/>
  <c r="C42" i="20"/>
  <c r="F15" i="20"/>
  <c r="B11" i="20" l="1"/>
  <c r="B43" i="20" s="1"/>
  <c r="G9" i="20" l="1"/>
  <c r="G41" i="20" s="1"/>
  <c r="F4" i="20" l="1"/>
  <c r="F20" i="20" l="1"/>
  <c r="E20" i="20"/>
  <c r="D20" i="20"/>
  <c r="C20" i="20"/>
  <c r="B20" i="20"/>
  <c r="C29" i="20" l="1"/>
  <c r="I17" i="20" l="1"/>
  <c r="Y18" i="20" l="1"/>
  <c r="D15" i="20" l="1"/>
  <c r="E15" i="20"/>
  <c r="H10" i="20" l="1"/>
  <c r="H42" i="20" s="1"/>
  <c r="G10" i="20"/>
  <c r="C9" i="20"/>
  <c r="C41" i="20" s="1"/>
  <c r="C4" i="20"/>
  <c r="T19" i="20"/>
  <c r="B7" i="22"/>
  <c r="B11" i="22" s="1"/>
  <c r="J8" i="22"/>
  <c r="F9" i="22"/>
  <c r="F7" i="22" s="1"/>
  <c r="F11" i="22" s="1"/>
  <c r="N9" i="22"/>
  <c r="J10" i="22"/>
  <c r="J12" i="22"/>
  <c r="J13" i="22"/>
  <c r="J14" i="22"/>
  <c r="F15" i="22"/>
  <c r="F17" i="22" s="1"/>
  <c r="F19" i="22" s="1"/>
  <c r="B16" i="22"/>
  <c r="J16" i="22" s="1"/>
  <c r="A17" i="22"/>
  <c r="A18" i="22" s="1"/>
  <c r="A19" i="22" s="1"/>
  <c r="A20" i="22" s="1"/>
  <c r="A27" i="22" s="1"/>
  <c r="A28" i="22" s="1"/>
  <c r="A29" i="22" s="1"/>
  <c r="A30" i="22" s="1"/>
  <c r="A31" i="22" s="1"/>
  <c r="A32" i="22" s="1"/>
  <c r="A33" i="22" s="1"/>
  <c r="A34" i="22" s="1"/>
  <c r="A35" i="22" s="1"/>
  <c r="A36" i="22" s="1"/>
  <c r="A37" i="22" s="1"/>
  <c r="A38" i="22" s="1"/>
  <c r="A39" i="22" s="1"/>
  <c r="A40" i="22" s="1"/>
  <c r="A48" i="22" s="1"/>
  <c r="A49" i="22" s="1"/>
  <c r="A50" i="22" s="1"/>
  <c r="A51" i="22" s="1"/>
  <c r="A52" i="22" s="1"/>
  <c r="A53" i="22" s="1"/>
  <c r="A54" i="22" s="1"/>
  <c r="A55" i="22" s="1"/>
  <c r="A56" i="22" s="1"/>
  <c r="A57" i="22" s="1"/>
  <c r="A58" i="22" s="1"/>
  <c r="A59" i="22" s="1"/>
  <c r="A60" i="22" s="1"/>
  <c r="A61" i="22" s="1"/>
  <c r="A68" i="22" s="1"/>
  <c r="A69" i="22" s="1"/>
  <c r="A70" i="22" s="1"/>
  <c r="A71" i="22" s="1"/>
  <c r="A72" i="22" s="1"/>
  <c r="A73" i="22" s="1"/>
  <c r="A74" i="22" s="1"/>
  <c r="A75" i="22" s="1"/>
  <c r="A76" i="22" s="1"/>
  <c r="A77" i="22" s="1"/>
  <c r="A78" i="22" s="1"/>
  <c r="A79" i="22" s="1"/>
  <c r="A80" i="22" s="1"/>
  <c r="A81" i="22" s="1"/>
  <c r="A88" i="22" s="1"/>
  <c r="A89" i="22" s="1"/>
  <c r="A90" i="22" s="1"/>
  <c r="A91" i="22" s="1"/>
  <c r="A92" i="22" s="1"/>
  <c r="A93" i="22" s="1"/>
  <c r="A94" i="22" s="1"/>
  <c r="A95" i="22" s="1"/>
  <c r="A96" i="22" s="1"/>
  <c r="A97" i="22" s="1"/>
  <c r="A98" i="22" s="1"/>
  <c r="A99" i="22" s="1"/>
  <c r="A100" i="22" s="1"/>
  <c r="A101" i="22" s="1"/>
  <c r="A108" i="22" s="1"/>
  <c r="A109" i="22" s="1"/>
  <c r="A110" i="22" s="1"/>
  <c r="A111" i="22" s="1"/>
  <c r="A112" i="22" s="1"/>
  <c r="A113" i="22" s="1"/>
  <c r="A114" i="22" s="1"/>
  <c r="A115" i="22" s="1"/>
  <c r="A116" i="22" s="1"/>
  <c r="A117" i="22" s="1"/>
  <c r="A118" i="22" s="1"/>
  <c r="A119" i="22" s="1"/>
  <c r="A120" i="22" s="1"/>
  <c r="A121" i="22" s="1"/>
  <c r="A127" i="22" s="1"/>
  <c r="A128" i="22" s="1"/>
  <c r="A129" i="22" s="1"/>
  <c r="A130" i="22" s="1"/>
  <c r="A131" i="22" s="1"/>
  <c r="A132" i="22" s="1"/>
  <c r="A133" i="22" s="1"/>
  <c r="A134" i="22" s="1"/>
  <c r="A135" i="22" s="1"/>
  <c r="A136" i="22" s="1"/>
  <c r="A137" i="22" s="1"/>
  <c r="A138" i="22" s="1"/>
  <c r="A139" i="22" s="1"/>
  <c r="A140" i="22" s="1"/>
  <c r="A145" i="22" s="1"/>
  <c r="E17" i="22"/>
  <c r="E18" i="22" s="1"/>
  <c r="E19" i="22" s="1"/>
  <c r="E20" i="22" s="1"/>
  <c r="I17" i="22"/>
  <c r="I18" i="22" s="1"/>
  <c r="I19" i="22" s="1"/>
  <c r="I20" i="22" s="1"/>
  <c r="J18" i="22"/>
  <c r="N21" i="22"/>
  <c r="E23" i="22"/>
  <c r="B27" i="22"/>
  <c r="B31" i="22" s="1"/>
  <c r="B35" i="22"/>
  <c r="B48" i="22"/>
  <c r="B52" i="22" s="1"/>
  <c r="B58" i="22"/>
  <c r="B60" i="22" s="1"/>
  <c r="B68" i="22"/>
  <c r="B72" i="22" s="1"/>
  <c r="B76" i="22"/>
  <c r="B78" i="22" s="1"/>
  <c r="B80" i="22" s="1"/>
  <c r="B92" i="22"/>
  <c r="B93" i="22"/>
  <c r="B96" i="22"/>
  <c r="B112" i="22"/>
  <c r="B113" i="22"/>
  <c r="B118" i="22" s="1"/>
  <c r="B120" i="22" s="1"/>
  <c r="B131" i="22"/>
  <c r="B137" i="22"/>
  <c r="B139" i="22" s="1"/>
  <c r="B140" i="22" s="1"/>
  <c r="B152" i="22"/>
  <c r="B154" i="22" s="1"/>
  <c r="B153" i="22"/>
  <c r="C154" i="22"/>
  <c r="W16" i="20"/>
  <c r="W15" i="20"/>
  <c r="W13" i="20"/>
  <c r="W8" i="20"/>
  <c r="W7" i="20"/>
  <c r="W6" i="20"/>
  <c r="W5" i="20"/>
  <c r="W3" i="20"/>
  <c r="F20" i="22" l="1"/>
  <c r="B121" i="22"/>
  <c r="J15" i="22"/>
  <c r="J17" i="22" s="1"/>
  <c r="J19" i="22" s="1"/>
  <c r="B17" i="22"/>
  <c r="B19" i="22" s="1"/>
  <c r="B98" i="22"/>
  <c r="B100" i="22" s="1"/>
  <c r="B101" i="22" s="1"/>
  <c r="C102" i="22" s="1"/>
  <c r="B81" i="22"/>
  <c r="C82" i="22" s="1"/>
  <c r="B20" i="22"/>
  <c r="C21" i="22" s="1"/>
  <c r="M21" i="22"/>
  <c r="G42" i="20"/>
  <c r="B61" i="22"/>
  <c r="G48" i="22" s="1"/>
  <c r="J7" i="22"/>
  <c r="B37" i="22"/>
  <c r="B39" i="22" s="1"/>
  <c r="B40" i="22" s="1"/>
  <c r="C41" i="22" s="1"/>
  <c r="J9" i="22"/>
  <c r="I13" i="20"/>
  <c r="Y13" i="20" s="1"/>
  <c r="I3" i="20"/>
  <c r="Y3" i="20" s="1"/>
  <c r="I4" i="20"/>
  <c r="B103" i="22" l="1"/>
  <c r="C22" i="22"/>
  <c r="B145" i="22"/>
  <c r="J11" i="22"/>
  <c r="J26" i="22"/>
  <c r="J27" i="22" s="1"/>
  <c r="J32" i="22" s="1"/>
  <c r="J20" i="22" l="1"/>
  <c r="I5" i="20"/>
  <c r="Y5" i="20" s="1"/>
  <c r="I21" i="20" l="1"/>
  <c r="C165" i="22" l="1"/>
  <c r="C2" i="20" l="1"/>
  <c r="C6" i="20" s="1"/>
  <c r="C10" i="10"/>
  <c r="D40" i="10" l="1"/>
  <c r="D23" i="10"/>
  <c r="N23" i="10" s="1"/>
  <c r="X23" i="10" s="1"/>
  <c r="X16" i="10"/>
  <c r="X15" i="10"/>
  <c r="X3" i="10"/>
  <c r="X2" i="10"/>
  <c r="N10" i="10"/>
  <c r="X10" i="10" s="1"/>
  <c r="N9" i="10"/>
  <c r="X9" i="10" s="1"/>
  <c r="N8" i="10"/>
  <c r="X8" i="10" s="1"/>
  <c r="N7" i="10"/>
  <c r="X7" i="10" s="1"/>
  <c r="N6" i="10"/>
  <c r="X6" i="10" s="1"/>
  <c r="N5" i="10"/>
  <c r="X5" i="10" s="1"/>
  <c r="N4" i="10"/>
  <c r="X4" i="10" s="1"/>
  <c r="N11" i="10" l="1"/>
  <c r="X11" i="10" s="1"/>
  <c r="G61" i="10"/>
  <c r="F61" i="10"/>
  <c r="E61" i="10"/>
  <c r="C8" i="10" l="1"/>
  <c r="D21" i="10" s="1"/>
  <c r="N21" i="10" s="1"/>
  <c r="X21" i="10" s="1"/>
  <c r="B15" i="20" l="1"/>
  <c r="I15" i="20" s="1"/>
  <c r="Y15" i="20" s="1"/>
  <c r="H9" i="20"/>
  <c r="H41" i="20" s="1"/>
  <c r="D9" i="20" l="1"/>
  <c r="D41" i="20" s="1"/>
  <c r="G12" i="20" l="1"/>
  <c r="G44" i="20" l="1"/>
  <c r="G14" i="20"/>
  <c r="F11" i="20" l="1"/>
  <c r="F43" i="20" s="1"/>
  <c r="R10" i="20" l="1"/>
  <c r="R19" i="20" l="1"/>
  <c r="C40" i="10" l="1"/>
  <c r="C12" i="10" s="1"/>
  <c r="C9" i="10"/>
  <c r="D22" i="10" s="1"/>
  <c r="N22" i="10" s="1"/>
  <c r="X22" i="10" s="1"/>
  <c r="C7" i="10"/>
  <c r="D20" i="10" s="1"/>
  <c r="N20" i="10" s="1"/>
  <c r="X20" i="10" s="1"/>
  <c r="C6" i="10"/>
  <c r="D19" i="10" s="1"/>
  <c r="N19" i="10" s="1"/>
  <c r="X19" i="10" s="1"/>
  <c r="C4" i="10"/>
  <c r="D17" i="10" s="1"/>
  <c r="N17" i="10" l="1"/>
  <c r="C23" i="10"/>
  <c r="C20" i="10"/>
  <c r="C19" i="10"/>
  <c r="C17" i="10"/>
  <c r="C21" i="10"/>
  <c r="C22" i="10"/>
  <c r="X17" i="10" l="1"/>
  <c r="M23" i="10" l="1"/>
  <c r="M22" i="10"/>
  <c r="M21" i="10"/>
  <c r="M20" i="10"/>
  <c r="M19" i="10"/>
  <c r="M17" i="10"/>
  <c r="M10" i="10"/>
  <c r="M9" i="10"/>
  <c r="M8" i="10"/>
  <c r="M7" i="10"/>
  <c r="M6" i="10"/>
  <c r="M4" i="10"/>
  <c r="BG45" i="17" l="1"/>
  <c r="AW28" i="17"/>
  <c r="AW29" i="17"/>
  <c r="BG54" i="17"/>
  <c r="AW31" i="17" l="1"/>
  <c r="AW30" i="17"/>
  <c r="AM34" i="17"/>
  <c r="Z28" i="17"/>
  <c r="AA28" i="17"/>
  <c r="AB28" i="17"/>
  <c r="AC28" i="17"/>
  <c r="AD28" i="17"/>
  <c r="AE28" i="17"/>
  <c r="AF28" i="17"/>
  <c r="AG28" i="17"/>
  <c r="AH28" i="17"/>
  <c r="AI28" i="17"/>
  <c r="Z29" i="17"/>
  <c r="AA29" i="17"/>
  <c r="AB29" i="17"/>
  <c r="AC29" i="17"/>
  <c r="AD29" i="17"/>
  <c r="AE29" i="17"/>
  <c r="AF29" i="17"/>
  <c r="AG29" i="17"/>
  <c r="AH29" i="17"/>
  <c r="Z30" i="17"/>
  <c r="AA30" i="17"/>
  <c r="AB30" i="17"/>
  <c r="AC30" i="17"/>
  <c r="AD30" i="17"/>
  <c r="AE30" i="17"/>
  <c r="AF30" i="17"/>
  <c r="AG30" i="17"/>
  <c r="AH30" i="17"/>
  <c r="Z31" i="17"/>
  <c r="AA31" i="17"/>
  <c r="AB31" i="17"/>
  <c r="AC31" i="17"/>
  <c r="AD31" i="17"/>
  <c r="AF31" i="17"/>
  <c r="AG31" i="17"/>
  <c r="AH31" i="17"/>
  <c r="Z32" i="17"/>
  <c r="AA32" i="17"/>
  <c r="AB32" i="17"/>
  <c r="AC32" i="17"/>
  <c r="AD32" i="17"/>
  <c r="AE32" i="17"/>
  <c r="AF32" i="17"/>
  <c r="AG32" i="17"/>
  <c r="AH32" i="17"/>
  <c r="Z33" i="17"/>
  <c r="AW32" i="17" l="1"/>
  <c r="B10" i="20" l="1"/>
  <c r="B42" i="20" s="1"/>
  <c r="G16" i="20"/>
  <c r="AI29" i="17" l="1"/>
  <c r="B23" i="17" l="1"/>
  <c r="AI32" i="17"/>
  <c r="AH33" i="17"/>
  <c r="AG33" i="17" l="1"/>
  <c r="AI30" i="17"/>
  <c r="AC33" i="17"/>
  <c r="AD33" i="17"/>
  <c r="AB33" i="17"/>
  <c r="AF33" i="17"/>
  <c r="AE31" i="17"/>
  <c r="AI31" i="17" l="1"/>
  <c r="AA33" i="17"/>
  <c r="AE33" i="17"/>
  <c r="AI33" i="17" l="1"/>
  <c r="F12" i="20" l="1"/>
  <c r="F44" i="20" s="1"/>
  <c r="AN33" i="17"/>
  <c r="AN29" i="17"/>
  <c r="B22" i="17" l="1"/>
  <c r="B12" i="20" l="1"/>
  <c r="B44" i="20" s="1"/>
  <c r="B22" i="13" l="1"/>
  <c r="B23" i="13" s="1"/>
  <c r="E22" i="13"/>
  <c r="E23" i="13" l="1"/>
  <c r="F20" i="13"/>
  <c r="F8" i="13"/>
  <c r="F9" i="13"/>
  <c r="F10" i="13"/>
  <c r="F11" i="13"/>
  <c r="F12" i="13"/>
  <c r="F13" i="13"/>
  <c r="F14" i="13"/>
  <c r="F15" i="13"/>
  <c r="F16" i="13"/>
  <c r="F17" i="13"/>
  <c r="F18" i="13"/>
  <c r="F19" i="13"/>
  <c r="F21" i="13"/>
  <c r="F7" i="13"/>
  <c r="C23" i="13"/>
  <c r="C5" i="10" l="1"/>
  <c r="D18" i="10" s="1"/>
  <c r="N18" i="10" l="1"/>
  <c r="D24" i="10"/>
  <c r="C18" i="10"/>
  <c r="M5" i="10"/>
  <c r="M11" i="10" s="1"/>
  <c r="C11" i="10"/>
  <c r="C13" i="10" s="1"/>
  <c r="B24" i="17"/>
  <c r="D7" i="19"/>
  <c r="X18" i="10" l="1"/>
  <c r="N24" i="10"/>
  <c r="X24" i="10" s="1"/>
  <c r="C24" i="10"/>
  <c r="M18" i="10"/>
  <c r="M24" i="10" s="1"/>
  <c r="B2" i="20"/>
  <c r="B6" i="20" l="1"/>
  <c r="D9" i="19"/>
  <c r="AN30" i="17"/>
  <c r="B20" i="17"/>
  <c r="F2" i="20" l="1"/>
  <c r="F6" i="20" s="1"/>
  <c r="B18" i="17"/>
  <c r="AN28" i="17" l="1"/>
  <c r="F9" i="20"/>
  <c r="F41" i="20" s="1"/>
  <c r="I63" i="14" l="1"/>
  <c r="H63" i="14"/>
  <c r="G63" i="14"/>
  <c r="F63" i="14"/>
  <c r="I64" i="14"/>
  <c r="H64" i="14"/>
  <c r="G64" i="14"/>
  <c r="F64" i="14"/>
  <c r="E64" i="14"/>
  <c r="D64" i="14"/>
  <c r="E63" i="14"/>
  <c r="D63" i="14"/>
  <c r="F67" i="14" l="1"/>
  <c r="I66" i="14"/>
  <c r="E66" i="14"/>
  <c r="E77" i="14"/>
  <c r="I67" i="14"/>
  <c r="H67" i="14"/>
  <c r="G67" i="14"/>
  <c r="H66" i="14"/>
  <c r="G66" i="14"/>
  <c r="F66" i="14"/>
  <c r="F69" i="14" s="1"/>
  <c r="E67" i="14"/>
  <c r="D67" i="14"/>
  <c r="I80" i="14"/>
  <c r="H80" i="14"/>
  <c r="G80" i="14"/>
  <c r="F80" i="14"/>
  <c r="E80" i="14"/>
  <c r="D80" i="14"/>
  <c r="E79" i="14"/>
  <c r="D79" i="14"/>
  <c r="I77" i="14"/>
  <c r="H77" i="14"/>
  <c r="G77" i="14"/>
  <c r="F77" i="14"/>
  <c r="D77" i="14"/>
  <c r="I75" i="14"/>
  <c r="H75" i="14"/>
  <c r="G75" i="14"/>
  <c r="F75" i="14"/>
  <c r="E75" i="14"/>
  <c r="D75" i="14"/>
  <c r="D46" i="14"/>
  <c r="E43" i="14" s="1"/>
  <c r="E37" i="14"/>
  <c r="D38" i="14"/>
  <c r="E34" i="14" s="1"/>
  <c r="D24" i="14"/>
  <c r="D27" i="14" s="1"/>
  <c r="E20" i="14" s="1"/>
  <c r="E27" i="14" s="1"/>
  <c r="F20" i="14" s="1"/>
  <c r="F27" i="14" s="1"/>
  <c r="G20" i="14" s="1"/>
  <c r="G27" i="14" s="1"/>
  <c r="H20" i="14" s="1"/>
  <c r="H27" i="14" s="1"/>
  <c r="G34" i="16"/>
  <c r="F34" i="16"/>
  <c r="E34" i="16"/>
  <c r="D78" i="14" l="1"/>
  <c r="H69" i="14"/>
  <c r="E69" i="14"/>
  <c r="I69" i="14"/>
  <c r="G69" i="14"/>
  <c r="E38" i="14"/>
  <c r="F34" i="14" s="1"/>
  <c r="F38" i="14" s="1"/>
  <c r="G34" i="14" s="1"/>
  <c r="G38" i="14" s="1"/>
  <c r="H34" i="14" s="1"/>
  <c r="H38" i="14" s="1"/>
  <c r="D66" i="14"/>
  <c r="D69" i="14" s="1"/>
  <c r="D81" i="14" s="1"/>
  <c r="F78" i="14"/>
  <c r="I78" i="14"/>
  <c r="H78" i="14"/>
  <c r="H81" i="14" s="1"/>
  <c r="E78" i="14"/>
  <c r="G78" i="14"/>
  <c r="E46" i="14"/>
  <c r="F43" i="14" s="1"/>
  <c r="F46" i="14" s="1"/>
  <c r="G43" i="14" s="1"/>
  <c r="G46" i="14" s="1"/>
  <c r="H43" i="14" s="1"/>
  <c r="H46" i="14" s="1"/>
  <c r="I81" i="14" l="1"/>
  <c r="E81" i="14"/>
  <c r="F81" i="14"/>
  <c r="G81" i="14"/>
  <c r="D8" i="19" l="1"/>
  <c r="D13" i="19" s="1"/>
  <c r="AN31" i="17"/>
  <c r="E2" i="20" l="1"/>
  <c r="E6" i="20" s="1"/>
  <c r="AN32" i="17"/>
  <c r="B21" i="17"/>
  <c r="E7" i="16" l="1"/>
  <c r="F7" i="16"/>
  <c r="B19" i="17" l="1"/>
  <c r="B25" i="17" s="1"/>
  <c r="E13" i="16"/>
  <c r="E17" i="16" s="1"/>
  <c r="F17" i="16"/>
  <c r="D7" i="16"/>
  <c r="D17" i="16" s="1"/>
  <c r="D2" i="20" l="1"/>
  <c r="D6" i="20" l="1"/>
  <c r="D4" i="14"/>
  <c r="D11" i="14" s="1"/>
  <c r="E4" i="14" s="1"/>
  <c r="E11" i="14" s="1"/>
  <c r="B9" i="20" l="1"/>
  <c r="B41" i="20" s="1"/>
  <c r="D23" i="13"/>
  <c r="D28" i="13" s="1"/>
  <c r="F23" i="13"/>
  <c r="B14" i="20" l="1"/>
  <c r="B16" i="20" s="1"/>
  <c r="B26" i="20" s="1"/>
  <c r="D29" i="13"/>
  <c r="E28" i="13"/>
  <c r="E29" i="13" s="1"/>
  <c r="F28" i="13"/>
  <c r="C28" i="13" l="1"/>
  <c r="F29" i="13"/>
  <c r="C29" i="13" l="1"/>
  <c r="C30" i="13"/>
  <c r="D26" i="13" l="1"/>
  <c r="D30" i="13" s="1"/>
  <c r="E26" i="13" l="1"/>
  <c r="E30" i="13" s="1"/>
  <c r="F26" i="13" l="1"/>
  <c r="F30" i="13" s="1"/>
  <c r="G2" i="20" l="1"/>
  <c r="F10" i="20"/>
  <c r="F42" i="20" s="1"/>
  <c r="D10" i="20"/>
  <c r="D42" i="20" s="1"/>
  <c r="D11" i="20" l="1"/>
  <c r="D43" i="20" s="1"/>
  <c r="H2" i="20"/>
  <c r="H6" i="20" s="1"/>
  <c r="H12" i="20"/>
  <c r="E9" i="20"/>
  <c r="E10" i="20"/>
  <c r="G6" i="20"/>
  <c r="D14" i="20"/>
  <c r="D16" i="20" s="1"/>
  <c r="I11" i="20"/>
  <c r="O9" i="20" l="1"/>
  <c r="O19" i="20" s="1"/>
  <c r="I2" i="20"/>
  <c r="I6" i="20" s="1"/>
  <c r="E14" i="20"/>
  <c r="E16" i="20" s="1"/>
  <c r="E26" i="20" s="1"/>
  <c r="E42" i="20"/>
  <c r="H14" i="20"/>
  <c r="H16" i="20" s="1"/>
  <c r="H26" i="20" s="1"/>
  <c r="H44" i="20"/>
  <c r="I9" i="20"/>
  <c r="E41" i="20"/>
  <c r="G26" i="20"/>
  <c r="P10" i="20"/>
  <c r="P19" i="20" s="1"/>
  <c r="I10" i="20"/>
  <c r="F14" i="20"/>
  <c r="F16" i="20" s="1"/>
  <c r="F26" i="20" s="1"/>
  <c r="D26" i="20"/>
  <c r="O30" i="17"/>
  <c r="O31" i="17"/>
  <c r="AN34" i="17"/>
  <c r="AW33" i="17" s="1"/>
  <c r="AW34" i="17" s="1"/>
  <c r="O32" i="17"/>
  <c r="O36" i="17"/>
  <c r="O35" i="17"/>
  <c r="M4" i="20" l="1"/>
  <c r="M19" i="20" s="1"/>
  <c r="S10" i="20"/>
  <c r="S19" i="20" s="1"/>
  <c r="N9" i="20"/>
  <c r="Q11" i="20"/>
  <c r="W10" i="20" l="1"/>
  <c r="Y10" i="20" s="1"/>
  <c r="W4" i="20"/>
  <c r="Y4" i="20" s="1"/>
  <c r="N19" i="20"/>
  <c r="W9" i="20"/>
  <c r="Y9" i="20" s="1"/>
  <c r="Q19" i="20"/>
  <c r="W11" i="20"/>
  <c r="Y11" i="20" s="1"/>
  <c r="W16" i="10" l="1"/>
  <c r="W15" i="10"/>
  <c r="W3" i="10"/>
  <c r="W2" i="10"/>
  <c r="M16" i="10"/>
  <c r="M15" i="10"/>
  <c r="M3" i="10"/>
  <c r="M2" i="10"/>
  <c r="V2" i="10"/>
  <c r="L24" i="10"/>
  <c r="V24" i="10" s="1"/>
  <c r="L23" i="10"/>
  <c r="V23" i="10" s="1"/>
  <c r="L22" i="10"/>
  <c r="V22" i="10" s="1"/>
  <c r="L21" i="10"/>
  <c r="V21" i="10" s="1"/>
  <c r="L20" i="10"/>
  <c r="V20" i="10" s="1"/>
  <c r="L19" i="10"/>
  <c r="V19" i="10" s="1"/>
  <c r="L18" i="10"/>
  <c r="V18" i="10" s="1"/>
  <c r="L17" i="10"/>
  <c r="V17" i="10" s="1"/>
  <c r="L16" i="10"/>
  <c r="V16" i="10" s="1"/>
  <c r="L15" i="10"/>
  <c r="V15" i="10" s="1"/>
  <c r="L11" i="10"/>
  <c r="V11" i="10" s="1"/>
  <c r="L10" i="10"/>
  <c r="V10" i="10" s="1"/>
  <c r="L9" i="10"/>
  <c r="V9" i="10" s="1"/>
  <c r="L8" i="10"/>
  <c r="V8" i="10" s="1"/>
  <c r="L7" i="10"/>
  <c r="V7" i="10" s="1"/>
  <c r="L6" i="10"/>
  <c r="V6" i="10" s="1"/>
  <c r="L5" i="10"/>
  <c r="V5" i="10" s="1"/>
  <c r="L4" i="10"/>
  <c r="V4" i="10" s="1"/>
  <c r="L2" i="10"/>
  <c r="W23" i="10" l="1"/>
  <c r="W22" i="10"/>
  <c r="W21" i="10"/>
  <c r="W20" i="10"/>
  <c r="W19" i="10"/>
  <c r="W18" i="10"/>
  <c r="W17" i="10"/>
  <c r="W5" i="10"/>
  <c r="W6" i="10"/>
  <c r="W7" i="10"/>
  <c r="W8" i="10"/>
  <c r="W9" i="10"/>
  <c r="W10" i="10"/>
  <c r="W4" i="10"/>
  <c r="W24" i="10"/>
  <c r="W11" i="10"/>
  <c r="L2" i="20" l="1"/>
  <c r="W2" i="20" l="1"/>
  <c r="L19" i="20"/>
  <c r="Y2" i="20" l="1"/>
  <c r="C12" i="20" l="1"/>
  <c r="C44" i="20" s="1"/>
  <c r="O34" i="17" l="1"/>
  <c r="C14" i="20"/>
  <c r="C16" i="20" s="1"/>
  <c r="I12" i="20"/>
  <c r="I14" i="20" s="1"/>
  <c r="O33" i="17" l="1"/>
  <c r="O37" i="17" s="1"/>
  <c r="O38" i="17" s="1"/>
  <c r="C26" i="20"/>
  <c r="I16" i="20"/>
  <c r="U12" i="20" l="1"/>
  <c r="W12" i="20" s="1"/>
  <c r="Y12" i="20" s="1"/>
  <c r="V17" i="20" l="1"/>
  <c r="V19" i="20" s="1"/>
  <c r="W19" i="20"/>
  <c r="U19" i="20"/>
  <c r="V20" i="20" s="1"/>
  <c r="W17" i="20" l="1"/>
  <c r="Y17" i="20" s="1"/>
  <c r="V2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tc={9F4AF67C-B6A0-4B4A-AEE4-7A119D8684B9}</author>
  </authors>
  <commentList>
    <comment ref="F17" authorId="0" shapeId="0" xr:uid="{9F4AF67C-B6A0-4B4A-AEE4-7A119D8684B9}">
      <text>
        <t>[Threaded comment]
Your version of Excel allows you to read this threaded comment; however, any edits to it will get removed if the file is opened in a newer version of Excel. Learn more: https://go.microsoft.com/fwlink/?linkid=870924
Comment:
    @Mark Johnson
Reply:
    Hi Mark, Do you have the CTR to the pennies please</t>
      </text>
    </comment>
  </commentList>
</comments>
</file>

<file path=xl/sharedStrings.xml><?xml version="1.0" encoding="utf-8"?>
<sst xmlns="http://schemas.openxmlformats.org/spreadsheetml/2006/main" count="4132" uniqueCount="1437">
  <si>
    <t>Total</t>
  </si>
  <si>
    <t>2018-19</t>
  </si>
  <si>
    <t>2019-20</t>
  </si>
  <si>
    <t>2020-21</t>
  </si>
  <si>
    <t>2021-22</t>
  </si>
  <si>
    <t>£ million</t>
  </si>
  <si>
    <t>SIF Project</t>
  </si>
  <si>
    <t>Elephant and Castle</t>
  </si>
  <si>
    <t>Canada Water</t>
  </si>
  <si>
    <t>Royal Docks</t>
  </si>
  <si>
    <t>Stratford</t>
  </si>
  <si>
    <t>West End</t>
  </si>
  <si>
    <t>Build for London</t>
  </si>
  <si>
    <t>Mayor's Construction Academy</t>
  </si>
  <si>
    <t>Industrial</t>
  </si>
  <si>
    <t>Good Growth Fund</t>
  </si>
  <si>
    <t>Micro SME</t>
  </si>
  <si>
    <t>CCI</t>
  </si>
  <si>
    <t>WI</t>
  </si>
  <si>
    <t>Creative Land Trust</t>
  </si>
  <si>
    <t>Broadband Connectivity</t>
  </si>
  <si>
    <t>Not yet committed 18-19 SIF</t>
  </si>
  <si>
    <t>Not yet committed 19-20 SIF</t>
  </si>
  <si>
    <t>SIF Earmarked Reserve</t>
  </si>
  <si>
    <t>Opening Balance</t>
  </si>
  <si>
    <t xml:space="preserve">Transfer In </t>
  </si>
  <si>
    <t>Transfer Out</t>
  </si>
  <si>
    <t>Net transfer</t>
  </si>
  <si>
    <t>Closing Balance</t>
  </si>
  <si>
    <t>Gross revenue spend</t>
  </si>
  <si>
    <r>
      <t>1.</t>
    </r>
    <r>
      <rPr>
        <sz val="7"/>
        <color theme="1"/>
        <rFont val="Times New Roman"/>
        <family val="1"/>
      </rPr>
      <t xml:space="preserve">    </t>
    </r>
    <r>
      <rPr>
        <sz val="11"/>
        <color theme="1"/>
        <rFont val="Arial"/>
        <family val="2"/>
      </rPr>
      <t>Revenue spending is funded as follows.</t>
    </r>
  </si>
  <si>
    <t>FUNDING ALLOCATIONS</t>
  </si>
  <si>
    <t>Capital Spending</t>
  </si>
  <si>
    <t>Capital spend funding</t>
  </si>
  <si>
    <t xml:space="preserve">GLA main elements of spending are summarised in the table below. </t>
  </si>
  <si>
    <t>2016-17 (£m)</t>
  </si>
  <si>
    <t>GLA</t>
  </si>
  <si>
    <t>MOPAC</t>
  </si>
  <si>
    <t>LFEPA</t>
  </si>
  <si>
    <t>TfL</t>
  </si>
  <si>
    <t>£m</t>
  </si>
  <si>
    <t>Council tax</t>
  </si>
  <si>
    <t>Housing programmes</t>
  </si>
  <si>
    <t>Revenue support grant</t>
  </si>
  <si>
    <t>Northern Line extension funding</t>
  </si>
  <si>
    <t>Business rates</t>
  </si>
  <si>
    <t>Crossrail financing costs</t>
  </si>
  <si>
    <t>Total Funding</t>
  </si>
  <si>
    <t>Other programmes (incl. education and skills)</t>
  </si>
  <si>
    <t>Business Rates deficit from 2015-16</t>
  </si>
  <si>
    <t>London Legacy Development Corporation</t>
  </si>
  <si>
    <t>Regeneration and economic development programmes</t>
  </si>
  <si>
    <t>City Hall: staffing, running and capital costs</t>
  </si>
  <si>
    <t xml:space="preserve">Olympics funding agreement </t>
  </si>
  <si>
    <t>Other capital financing costs</t>
  </si>
  <si>
    <t xml:space="preserve">London &amp; Partners </t>
  </si>
  <si>
    <t>Museum of London</t>
  </si>
  <si>
    <t>Old Oak and Park Royal Development Corporation</t>
  </si>
  <si>
    <t>FB</t>
  </si>
  <si>
    <t>2020/21 Revenue gross spending</t>
  </si>
  <si>
    <t>TfL: £7,147m</t>
  </si>
  <si>
    <t>MOPAC: £3,812m</t>
  </si>
  <si>
    <t>GLA - Mayor: £847m</t>
  </si>
  <si>
    <t>LFC: £486m</t>
  </si>
  <si>
    <t>LLDC: £66m</t>
  </si>
  <si>
    <t>OPDC: £9m</t>
  </si>
  <si>
    <t>GLA - Assembly: £8m</t>
  </si>
  <si>
    <t>2020/21 Capital spending</t>
  </si>
  <si>
    <t>Funding Source</t>
  </si>
  <si>
    <t>2020/21 Capital funding</t>
  </si>
  <si>
    <t>GLA 2020/21 Expenditure</t>
  </si>
  <si>
    <t>£'m</t>
  </si>
  <si>
    <t>TfL: £2,707m</t>
  </si>
  <si>
    <t>Capital grants &amp; Contributions: £2,345m</t>
  </si>
  <si>
    <t>Revenue:</t>
  </si>
  <si>
    <t>Income</t>
  </si>
  <si>
    <t>2020/21 Revenue funding</t>
  </si>
  <si>
    <t>GLA - Mayor: £1,603m</t>
  </si>
  <si>
    <t>Borrowing : £2,013m</t>
  </si>
  <si>
    <t xml:space="preserve">Adult Education Budget </t>
  </si>
  <si>
    <t>Fares income: £5,123m</t>
  </si>
  <si>
    <t>MOPAC: £415m</t>
  </si>
  <si>
    <t>Capital receipts: £496m</t>
  </si>
  <si>
    <t>Financing costs – Crossrail</t>
  </si>
  <si>
    <t>General Government grants: £2,060m</t>
  </si>
  <si>
    <t>LLDC: £279m</t>
  </si>
  <si>
    <t>Revenue Contributions: £187m</t>
  </si>
  <si>
    <t>Communities &amp; Intelligence</t>
  </si>
  <si>
    <t>Other general income : £1,659m</t>
  </si>
  <si>
    <t>LFC: £37m</t>
  </si>
  <si>
    <t>Strategic Investment Fund</t>
  </si>
  <si>
    <t>Business rates: £1,426m</t>
  </si>
  <si>
    <t>OPDC: £0m</t>
  </si>
  <si>
    <t>contolz</t>
  </si>
  <si>
    <t>Housing &amp; Land</t>
  </si>
  <si>
    <t>Council tax : £999m</t>
  </si>
  <si>
    <t>Vareeancee</t>
  </si>
  <si>
    <t>Other Development, Enterprise &amp; Environment</t>
  </si>
  <si>
    <t>Specific Government grants: £930m</t>
  </si>
  <si>
    <t>Corporate Management Team</t>
  </si>
  <si>
    <t>Use of reserves: £177m</t>
  </si>
  <si>
    <t>Elections</t>
  </si>
  <si>
    <t>Financing costs – Northern Line Extension</t>
  </si>
  <si>
    <t>checkacheca</t>
  </si>
  <si>
    <t>London &amp; Partners</t>
  </si>
  <si>
    <t>Provision for repayment of debt/ other grant payments - LLDC</t>
  </si>
  <si>
    <t>Musuem of London</t>
  </si>
  <si>
    <t>Resources</t>
  </si>
  <si>
    <t>Financing costs – other</t>
  </si>
  <si>
    <t>Mayor’s Office</t>
  </si>
  <si>
    <t>Contingency</t>
  </si>
  <si>
    <t>Total Revenue Expenditure</t>
  </si>
  <si>
    <t>Capital:</t>
  </si>
  <si>
    <t>Housing Programmes</t>
  </si>
  <si>
    <t>LLDC</t>
  </si>
  <si>
    <t>Northern Line Extension</t>
  </si>
  <si>
    <t>Crossrail</t>
  </si>
  <si>
    <t>Regeneration</t>
  </si>
  <si>
    <t>Environment</t>
  </si>
  <si>
    <t>Other</t>
  </si>
  <si>
    <t>Total Capital Expenditure</t>
  </si>
  <si>
    <t xml:space="preserve">Capital Investment Plan </t>
  </si>
  <si>
    <t>Years</t>
  </si>
  <si>
    <t>6 to 10</t>
  </si>
  <si>
    <t>11 to 15</t>
  </si>
  <si>
    <t>16 to 20</t>
  </si>
  <si>
    <t>Table 1</t>
  </si>
  <si>
    <t>2022-23</t>
  </si>
  <si>
    <t>2023-24</t>
  </si>
  <si>
    <t>2024-25</t>
  </si>
  <si>
    <t>2025-26</t>
  </si>
  <si>
    <t>2026-27 to 2030-31</t>
  </si>
  <si>
    <t>2031-32 to 2035-36</t>
  </si>
  <si>
    <t>2036-37 to 2040-41</t>
  </si>
  <si>
    <t>Category of spend</t>
  </si>
  <si>
    <t>Item</t>
  </si>
  <si>
    <t>Further information</t>
  </si>
  <si>
    <t>Outturn</t>
  </si>
  <si>
    <t>Revised Budget</t>
  </si>
  <si>
    <t>Forecast Outturn</t>
  </si>
  <si>
    <t>Plan</t>
  </si>
  <si>
    <t>Affordable Homes Programme (2016-23)</t>
  </si>
  <si>
    <t>Community Housing Fund</t>
  </si>
  <si>
    <t>Community Housing Fund (additional)</t>
  </si>
  <si>
    <t>Affordable Homes Programme (2021-26)</t>
  </si>
  <si>
    <t>Housing Zone grants</t>
  </si>
  <si>
    <t>Other Projects (&lt; £10m p.a.)</t>
  </si>
  <si>
    <t>Land &amp; Property Programme (Beam Park Station)</t>
  </si>
  <si>
    <t>Housing Zone loans</t>
  </si>
  <si>
    <t>MHLG Land Fund</t>
  </si>
  <si>
    <t>DLUHC Land Fund</t>
  </si>
  <si>
    <t>Cladding – Social sector</t>
  </si>
  <si>
    <t>ACM Cladding – Social sector</t>
  </si>
  <si>
    <t xml:space="preserve">Cladding – Private sector </t>
  </si>
  <si>
    <t>ACM Cladding – Private sector</t>
  </si>
  <si>
    <t>Building Safety Fund</t>
  </si>
  <si>
    <t>Choose from dropdown list</t>
  </si>
  <si>
    <t>Waking Watch</t>
  </si>
  <si>
    <t>Homelessness Change and Platform for Life</t>
  </si>
  <si>
    <t>RS Accommodatn Prog</t>
  </si>
  <si>
    <t>Care and Support Specialised Housing</t>
  </si>
  <si>
    <t>Move-On</t>
  </si>
  <si>
    <t>Marginal Viability Fund</t>
  </si>
  <si>
    <t>Small Sites Capital Programme</t>
  </si>
  <si>
    <t xml:space="preserve">Enterprise Zone – Royal Docks </t>
  </si>
  <si>
    <t>Pocket Recycled Funding</t>
  </si>
  <si>
    <t>Land and Property programme (GLAP)</t>
  </si>
  <si>
    <t>GLAP Land Fund</t>
  </si>
  <si>
    <t>Mayor's GLAP Land Fund</t>
  </si>
  <si>
    <t>Housing Zones (Loans)</t>
  </si>
  <si>
    <t>Crystal Building Works</t>
  </si>
  <si>
    <t>Growing Places Fund</t>
  </si>
  <si>
    <t>Further Education Capital</t>
  </si>
  <si>
    <t>Skills for Londoners</t>
  </si>
  <si>
    <t>Small Sites</t>
  </si>
  <si>
    <t>Growth Deal Funds Unallocated (Design &amp; Capital)</t>
  </si>
  <si>
    <t>Regeneration Capital</t>
  </si>
  <si>
    <t>Skills Capital</t>
  </si>
  <si>
    <t xml:space="preserve">Getting Building Fund </t>
  </si>
  <si>
    <t xml:space="preserve">Mayor's Regeneration Fund </t>
  </si>
  <si>
    <t>London Regeneration Fund</t>
  </si>
  <si>
    <t>SIF</t>
  </si>
  <si>
    <t>Warmer Homes</t>
  </si>
  <si>
    <t>Funding from 2024/25 still being sought</t>
  </si>
  <si>
    <t>Energy Leap</t>
  </si>
  <si>
    <t>RE:FIT for Schools</t>
  </si>
  <si>
    <t>Bunhill</t>
  </si>
  <si>
    <t>Greener City Fund</t>
  </si>
  <si>
    <t>Drinking Fountains</t>
  </si>
  <si>
    <t>Air Quality – tackling local hotspots fund</t>
  </si>
  <si>
    <t xml:space="preserve">Breathe London monitoring network </t>
  </si>
  <si>
    <t>National Park City – Delivery and Public Engagement</t>
  </si>
  <si>
    <t>Homes energy efficiency</t>
  </si>
  <si>
    <t>Sustainable Urban drainage</t>
  </si>
  <si>
    <t>Heat pumps</t>
  </si>
  <si>
    <t>Investment in district heating networks</t>
  </si>
  <si>
    <t>Solar PV</t>
  </si>
  <si>
    <t>Climate Resilient Infrastructure</t>
  </si>
  <si>
    <t>Waste reduction</t>
  </si>
  <si>
    <t>Air Quality Audit</t>
  </si>
  <si>
    <t>BLEN Prog Capital</t>
  </si>
  <si>
    <t>Green Homes Grant Local Delivery Scheme</t>
  </si>
  <si>
    <t>Creative Enterprise Zones</t>
  </si>
  <si>
    <t>Fourth Plinth</t>
  </si>
  <si>
    <t>Connected London</t>
  </si>
  <si>
    <t xml:space="preserve">High Streets Challenge Fund </t>
  </si>
  <si>
    <t>Digital Talent Programme - Strand 4 Capital Funding</t>
  </si>
  <si>
    <t>A Sporting Future for London</t>
  </si>
  <si>
    <t xml:space="preserve">Mayor’s Skills Academies </t>
  </si>
  <si>
    <t>Datastore</t>
  </si>
  <si>
    <t>FM: City Hall Infrastructure</t>
  </si>
  <si>
    <t>FM: Trafalgar and Parliament Square</t>
  </si>
  <si>
    <t>TG: Open Project System</t>
  </si>
  <si>
    <t>TG:PC &amp; Laptop replacement</t>
  </si>
  <si>
    <t>TG:Printer Replacement</t>
  </si>
  <si>
    <t>TG:Server Replacement and Network Replacement</t>
  </si>
  <si>
    <t>Telephone Equipment</t>
  </si>
  <si>
    <t>Shared Services HR</t>
  </si>
  <si>
    <t>Shared Services TG</t>
  </si>
  <si>
    <t>TG:ICT Infrastructure</t>
  </si>
  <si>
    <t>Elephant &amp; Castle</t>
  </si>
  <si>
    <t>Elephant &amp; Castle (The Round-About)</t>
  </si>
  <si>
    <t>Elephant &amp; Castle (Ticket Hall and Construction)</t>
  </si>
  <si>
    <t>LLDC Loan Funding</t>
  </si>
  <si>
    <t>UCL Cultural and Education District</t>
  </si>
  <si>
    <t xml:space="preserve">LLDC East Bank and Direct Grant Funding </t>
  </si>
  <si>
    <t>LLDC East Bank and Direct Grant Funding</t>
  </si>
  <si>
    <t>LLDC JV - PML &amp; RRW Equity</t>
  </si>
  <si>
    <t>LLDC Joint venture transfer to GLAP</t>
  </si>
  <si>
    <t>LLDC -GLAP JV Strat. Wfront &amp; Bridgewater</t>
  </si>
  <si>
    <t>DCMS - share of receipts</t>
  </si>
  <si>
    <t>Budget</t>
  </si>
  <si>
    <t>GLA: Mayor</t>
  </si>
  <si>
    <t>GLA: Assembly</t>
  </si>
  <si>
    <t>LFC</t>
  </si>
  <si>
    <t>OPDC</t>
  </si>
  <si>
    <t>Proposed</t>
  </si>
  <si>
    <t>Fares income</t>
  </si>
  <si>
    <t>Retained business rates</t>
  </si>
  <si>
    <t>Use of reserves</t>
  </si>
  <si>
    <t>Mayor</t>
  </si>
  <si>
    <t>Section 2 - table 2.7</t>
  </si>
  <si>
    <t>Objective analysis</t>
  </si>
  <si>
    <t>Forecast</t>
  </si>
  <si>
    <t>GLA: Mayor services</t>
  </si>
  <si>
    <t>Directorate Expenditure</t>
  </si>
  <si>
    <t>Good Growth</t>
  </si>
  <si>
    <t>Communities &amp; Skills</t>
  </si>
  <si>
    <t>Strategy and Communications</t>
  </si>
  <si>
    <t>Chief Officer</t>
  </si>
  <si>
    <t>Other service expenditure</t>
  </si>
  <si>
    <t>Financing Costs</t>
  </si>
  <si>
    <t>Interest receipts</t>
  </si>
  <si>
    <t>Crossrail BRS and MCIL</t>
  </si>
  <si>
    <t>Northern Line Extension contributions</t>
  </si>
  <si>
    <t>Interest receipts GLAP loan</t>
  </si>
  <si>
    <t>Transfer to/ (from) reserves held for Group items</t>
  </si>
  <si>
    <t>Net service expenditure after use of reserves</t>
  </si>
  <si>
    <t>Specific grants</t>
  </si>
  <si>
    <t>22-23 DLUHC general services grant receipt</t>
  </si>
  <si>
    <t>Council tax collection fund surplus/ (deficit)</t>
  </si>
  <si>
    <t>Council tax collection fund surplus</t>
  </si>
  <si>
    <t>Council tax requirement</t>
  </si>
  <si>
    <t>Target Council Tax Requirement (From Section1)</t>
  </si>
  <si>
    <t>Variance from Council Tax Requirement (should be zero)</t>
  </si>
  <si>
    <t>Variance in Table Totals (should be zero)</t>
  </si>
  <si>
    <t>Section 2 - table 2.8</t>
  </si>
  <si>
    <t>Changes in the council tax requirement</t>
  </si>
  <si>
    <t>&lt; Should be zero</t>
  </si>
  <si>
    <t xml:space="preserve">Changes due to: </t>
  </si>
  <si>
    <t>Change in use of reserves</t>
  </si>
  <si>
    <t>Government grants</t>
  </si>
  <si>
    <t>Retained business rates funding</t>
  </si>
  <si>
    <t>Change in council tax collection fund surplus</t>
  </si>
  <si>
    <t>2022-23 council tax requirement</t>
  </si>
  <si>
    <t>Target Council Tax Requirement</t>
  </si>
  <si>
    <t>Section 2 - table 2.20</t>
  </si>
  <si>
    <t>Movement in reserves during financial year</t>
  </si>
  <si>
    <t>Opening balances</t>
  </si>
  <si>
    <t>Transfers to/from:</t>
  </si>
  <si>
    <t>Business Rates Reserve</t>
  </si>
  <si>
    <t>Northern Line Extension reserve</t>
  </si>
  <si>
    <t>Mayoral Development Corporation Reserve</t>
  </si>
  <si>
    <t>Reserves earmarked for GLA services</t>
  </si>
  <si>
    <t>Capital Programme Reserve</t>
  </si>
  <si>
    <t>Assembly Reserve</t>
  </si>
  <si>
    <t>General Reserve</t>
  </si>
  <si>
    <t xml:space="preserve">Closing balances </t>
  </si>
  <si>
    <t>Variance in opening and closing balances</t>
  </si>
  <si>
    <t>Variance to objective table above</t>
  </si>
  <si>
    <t>Section 2 - table 2.21</t>
  </si>
  <si>
    <t xml:space="preserve"> Total reserves at end of financial year</t>
  </si>
  <si>
    <t>LLDC Capital funding reserve</t>
  </si>
  <si>
    <t xml:space="preserve">Total </t>
  </si>
  <si>
    <t>Variance between total reserves and movement</t>
  </si>
  <si>
    <t>Appendix A - table 1</t>
  </si>
  <si>
    <t>Subjective analysis</t>
  </si>
  <si>
    <t>Staff costs</t>
  </si>
  <si>
    <t>Premises costs</t>
  </si>
  <si>
    <t>Supplies and services</t>
  </si>
  <si>
    <t>Capital financing costs:</t>
  </si>
  <si>
    <t>Financing costs - Crossrail</t>
  </si>
  <si>
    <t>Financing costs - Northern Line Extension</t>
  </si>
  <si>
    <t>Financing costs - other</t>
  </si>
  <si>
    <t>Total revenue expenditure</t>
  </si>
  <si>
    <t>Sales, fees, charges and recharges</t>
  </si>
  <si>
    <t>Rental income</t>
  </si>
  <si>
    <t>Total Income</t>
  </si>
  <si>
    <t>Net cost of services</t>
  </si>
  <si>
    <t>Transfer to/ from (-) reserves held for Group items</t>
  </si>
  <si>
    <t>Financing requirement</t>
  </si>
  <si>
    <t>Appx A - Group Items</t>
  </si>
  <si>
    <t>GLA Group Items</t>
  </si>
  <si>
    <t>Group Initiatives</t>
  </si>
  <si>
    <t>Group collaborative and responsible procurement</t>
  </si>
  <si>
    <t>Borough income maximisation initiatives</t>
  </si>
  <si>
    <t xml:space="preserve">Strategic investment fund </t>
  </si>
  <si>
    <t>NLE contributions applied for capital spending</t>
  </si>
  <si>
    <t>NLE reserve application for in year forecast deficits</t>
  </si>
  <si>
    <t>NLE reserve reimbursement to BRR for prior year deficits</t>
  </si>
  <si>
    <t>Functional body funding</t>
  </si>
  <si>
    <t>LLDC expenditure funded from Group Items</t>
  </si>
  <si>
    <t>2020-21 NNDR deficit to be recovered from TfL</t>
  </si>
  <si>
    <t>Collection fund payments</t>
  </si>
  <si>
    <t>Residual/forecast NNDR sums payable to billing authorities</t>
  </si>
  <si>
    <t>Provisions for NNDR/council tax actual outturn losses</t>
  </si>
  <si>
    <t>Tariff and levy payments to DLUHC</t>
  </si>
  <si>
    <t>Total GLA Group Item expenditure</t>
  </si>
  <si>
    <t>Transfer to/from (-) MDC reserve</t>
  </si>
  <si>
    <t>Transfer to/from (-) SIF reserve</t>
  </si>
  <si>
    <t>Transfer to/from (-) NLE reserve</t>
  </si>
  <si>
    <t>Transfer to/from (-) BRR reserve</t>
  </si>
  <si>
    <t>Appendix A - table 2</t>
  </si>
  <si>
    <t>Draft capital plan</t>
  </si>
  <si>
    <t>Rough Sleeping Accommodation Programme</t>
  </si>
  <si>
    <t>Enterprise Zone – Royal Docks</t>
  </si>
  <si>
    <t xml:space="preserve">LLDC Joint ventures </t>
  </si>
  <si>
    <t>Total expenditure</t>
  </si>
  <si>
    <t xml:space="preserve">Borrowing </t>
  </si>
  <si>
    <t>Capital grants and third-party contributions</t>
  </si>
  <si>
    <t>Capital receipts</t>
  </si>
  <si>
    <t xml:space="preserve">Revenue Contributions </t>
  </si>
  <si>
    <t>Total funding</t>
  </si>
  <si>
    <t>Variance between expenditure and funding</t>
  </si>
  <si>
    <t>Appendix A - table 4</t>
  </si>
  <si>
    <t>Capital financing costs</t>
  </si>
  <si>
    <t>Provision for repayment of debt</t>
  </si>
  <si>
    <t>External interest</t>
  </si>
  <si>
    <t>Appendix A - table 5</t>
  </si>
  <si>
    <t>Authorised limit for external debt</t>
  </si>
  <si>
    <t>Current Approval</t>
  </si>
  <si>
    <t>Revised Approval</t>
  </si>
  <si>
    <t>Borrowing</t>
  </si>
  <si>
    <t>Long term liabilities</t>
  </si>
  <si>
    <t>Appendix A - table 6</t>
  </si>
  <si>
    <t>Operational limit for external debt</t>
  </si>
  <si>
    <t>Gross</t>
  </si>
  <si>
    <t>Gross income</t>
  </si>
  <si>
    <t>Net Expenditure</t>
  </si>
  <si>
    <t>Expenditure</t>
  </si>
  <si>
    <t>Missions</t>
  </si>
  <si>
    <t xml:space="preserve">A Green New Deal </t>
  </si>
  <si>
    <t>Healthy Place, Healthy Weight</t>
  </si>
  <si>
    <t>Foundations</t>
  </si>
  <si>
    <t xml:space="preserve">Engaging Londoners </t>
  </si>
  <si>
    <t>Spatial Development</t>
  </si>
  <si>
    <t>Core</t>
  </si>
  <si>
    <t>Finance</t>
  </si>
  <si>
    <t>HR</t>
  </si>
  <si>
    <t>Technology</t>
  </si>
  <si>
    <t>Governance</t>
  </si>
  <si>
    <t>Estates</t>
  </si>
  <si>
    <t>Analysis &amp; Intelligence</t>
  </si>
  <si>
    <t>External Relations</t>
  </si>
  <si>
    <t>Government Relations</t>
  </si>
  <si>
    <t>CMT</t>
  </si>
  <si>
    <t>Statutory Planning</t>
  </si>
  <si>
    <t>Fire &amp; Resilience</t>
  </si>
  <si>
    <t>City Operations</t>
  </si>
  <si>
    <t>Events</t>
  </si>
  <si>
    <t>International Relations</t>
  </si>
  <si>
    <t>Digital Transformation</t>
  </si>
  <si>
    <t>Total including specific grants and contingency</t>
  </si>
  <si>
    <t>Total Directorate Expenditure</t>
  </si>
  <si>
    <t>Variance between objective table and missions and foundation table</t>
  </si>
  <si>
    <t>Savings to be identified</t>
  </si>
  <si>
    <t>Mayor’s Office for Policing and Crime</t>
  </si>
  <si>
    <t>Net change in service expenditure and income</t>
  </si>
  <si>
    <t>Council tax collection fund deficit</t>
  </si>
  <si>
    <t>London Fire Commissioner</t>
  </si>
  <si>
    <t>Transport</t>
  </si>
  <si>
    <t xml:space="preserve"> </t>
  </si>
  <si>
    <t>Park Operations and Venues</t>
  </si>
  <si>
    <t>Development</t>
  </si>
  <si>
    <t>Savings and efficiencies</t>
  </si>
  <si>
    <t>2022-23 Needs updating from submissions</t>
  </si>
  <si>
    <t>GLA: London Assembly</t>
  </si>
  <si>
    <t>Updated from draft submission 25/11/2020</t>
  </si>
  <si>
    <t>FINAL</t>
  </si>
  <si>
    <t>Updated, change on word</t>
  </si>
  <si>
    <t>Savings Target (Budget guidance, rounded to 1dp)</t>
  </si>
  <si>
    <t>Vartiance from Savings target</t>
  </si>
  <si>
    <t>Is this ok? Formula (savings found - targets given in budget letters)</t>
  </si>
  <si>
    <t>*THIS TABLE WONT BE PUBLISHED*</t>
  </si>
  <si>
    <t>2021-22 Savings Targets in FB letters</t>
  </si>
  <si>
    <t>Not published</t>
  </si>
  <si>
    <t>Non Operational Estates savings</t>
  </si>
  <si>
    <t>2021‑22</t>
  </si>
  <si>
    <t>2022‑23</t>
  </si>
  <si>
    <t>Beyond 2023</t>
  </si>
  <si>
    <t>1 Stratford Place</t>
  </si>
  <si>
    <t xml:space="preserve">LLDC to Endeavour </t>
  </si>
  <si>
    <t xml:space="preserve">Pelham Street </t>
  </si>
  <si>
    <t>Pier Walk</t>
  </si>
  <si>
    <t>Old Broad Street (EC2)​</t>
  </si>
  <si>
    <t>Baker Street, 200 (NW1)​</t>
  </si>
  <si>
    <t>CranbournStreet, 20 (WC2)​</t>
  </si>
  <si>
    <t>Western House (W1)​</t>
  </si>
  <si>
    <t>Aldgate British Transport Police (EC3)​</t>
  </si>
  <si>
    <t>Ashfield House (W14)​</t>
  </si>
  <si>
    <t>Penton Street (NW1)​</t>
  </si>
  <si>
    <t>City Hall</t>
  </si>
  <si>
    <t>Union Street</t>
  </si>
  <si>
    <t>LFB</t>
  </si>
  <si>
    <t>Shared Services &amp; Corporate</t>
  </si>
  <si>
    <t>Property</t>
  </si>
  <si>
    <t>Gross expenditure</t>
  </si>
  <si>
    <t xml:space="preserve">Other general income </t>
  </si>
  <si>
    <t>GLA Mayor</t>
  </si>
  <si>
    <t>GLA Assembly</t>
  </si>
  <si>
    <t>£</t>
  </si>
  <si>
    <t>Band D</t>
  </si>
  <si>
    <t>Variance</t>
  </si>
  <si>
    <t>Infrastructure</t>
  </si>
  <si>
    <t>Reserves held at year end</t>
  </si>
  <si>
    <t>GLA Mayor and Assembly</t>
  </si>
  <si>
    <t>Home Office Grant</t>
  </si>
  <si>
    <t>Extraordinary grant</t>
  </si>
  <si>
    <t>other gov grans</t>
  </si>
  <si>
    <t>CTAX Surplus</t>
  </si>
  <si>
    <t>Rates</t>
  </si>
  <si>
    <t>CTAX</t>
  </si>
  <si>
    <t>Estimated expenditure</t>
  </si>
  <si>
    <t>Estimated allowance for contingencies</t>
  </si>
  <si>
    <t>Estimated reserves to be raised for meeting future expenditure</t>
  </si>
  <si>
    <t>Estimate of reserves to meet a revenue account deficit</t>
  </si>
  <si>
    <t>Estimated total expenditure</t>
  </si>
  <si>
    <t>Estimate of non government grant income</t>
  </si>
  <si>
    <t>Estimate of specific government grant income</t>
  </si>
  <si>
    <t>Estimate of general government grant income</t>
  </si>
  <si>
    <t>Estimate of Retained Business Rates income</t>
  </si>
  <si>
    <t>Collection fund deficit for council tax</t>
  </si>
  <si>
    <t>Estimated total income before use of reserves</t>
  </si>
  <si>
    <t>Estimate of reserves to be used</t>
  </si>
  <si>
    <t>Estimated total income after use of reserves</t>
  </si>
  <si>
    <t>COUNCIL TAXBASE</t>
  </si>
  <si>
    <t>BAND D COUNCIL TAX</t>
  </si>
  <si>
    <t>Police taxbase ('000s)</t>
  </si>
  <si>
    <t>Non-police taxbase ('000s)</t>
  </si>
  <si>
    <t>Combined</t>
  </si>
  <si>
    <t>ANNEX A CALCULATIONS</t>
  </si>
  <si>
    <t xml:space="preserve">Part 1: Greater London Authority: Mayor of London (“Mayor”) draft component budget </t>
  </si>
  <si>
    <t>SERVICES</t>
  </si>
  <si>
    <t>GROUP ITEMS</t>
  </si>
  <si>
    <t>SERVICES + GROUP ITEMS</t>
  </si>
  <si>
    <t>Line</t>
  </si>
  <si>
    <t>Sum</t>
  </si>
  <si>
    <t>Description</t>
  </si>
  <si>
    <t>estimated expenditure of the Mayor for the year calculated in accordance with s85(4)(a) of the GLA Act</t>
  </si>
  <si>
    <t>Business rates tariff to CLG via Pool</t>
  </si>
  <si>
    <t>estimated allowance for contingencies for the Mayor under s85(4)(b) of the GLA Act</t>
  </si>
  <si>
    <t>Forecast levy payment to MHCLG via Pool</t>
  </si>
  <si>
    <t>estimated reserves to be raised for meeting future expenditure of the Mayor under s85(4)(c) of the GLA Act</t>
  </si>
  <si>
    <t>estimate of reserves to meet a revenue account deficit of the Mayor under s85(4)(d) of the GLA Act</t>
  </si>
  <si>
    <t>Forecast ctax collection fund surplus</t>
  </si>
  <si>
    <t>aggregate of the amounts for the items set out in s85(4) of the GLA Act for the Mayor (lines (1) + (2) + (3) + (4) above)</t>
  </si>
  <si>
    <t>LLDC Expenditure funded from MDC Reserve</t>
  </si>
  <si>
    <r>
      <t xml:space="preserve">estimate of the Mayor’s income </t>
    </r>
    <r>
      <rPr>
        <u/>
        <sz val="11"/>
        <color theme="1"/>
        <rFont val="Foundry Form Sans"/>
      </rPr>
      <t>not</t>
    </r>
    <r>
      <rPr>
        <sz val="11"/>
        <color theme="1"/>
        <rFont val="Foundry Form Sans"/>
      </rPr>
      <t xml:space="preserve"> in respect of Government grant, retained business rates or council tax precept calculated in accordance with s85(5)(a) of the GLA Act</t>
    </r>
  </si>
  <si>
    <t>LLDC soft loan interest cost</t>
  </si>
  <si>
    <t>estimate of the Mayor’s special &amp; specific government grant income calculated in accordance with s85(5)(a) of the GLA Act</t>
  </si>
  <si>
    <t>OPDC Expenditure funded from MDC Reserve</t>
  </si>
  <si>
    <t>estimate of the Mayor’s income in respect of general government grants (revenue support grant) calculated in accordance with s85(5)(a) of the GLA Act</t>
  </si>
  <si>
    <t>estimate of the Mayor’s income in respect of National Non Domestic Rates  including related section 31 grant income calculated in accordance with s85(5)(a) of the GLA Act</t>
  </si>
  <si>
    <t>estimate of the Mayor’s share of any net collection fund surplus for the 33 London billing authorities for council tax calculated in accordance with s85(5)(a) of the GLA Act</t>
  </si>
  <si>
    <t>aggregate of the amounts for the items set out in section 85(5)(a) of the GLA Act (lines (6) + (7) + (8) + (9) + (10))</t>
  </si>
  <si>
    <t>estimate of Mayor’s reserves to be used in meeting amounts in lines (1) and (2) above under s85(5)(b) of the GLA Act</t>
  </si>
  <si>
    <t>aggregate of the amounts for the items set out in section 85(5) of the GLA Act for the Mayor (lines (11) + (12) above)</t>
  </si>
  <si>
    <t>the component council tax requirement for the Mayor (being the amount by which the aggregate at (5) above exceeds the aggregate at (13) above calculated in accordance with section 85(6) of the GLA Act)</t>
  </si>
  <si>
    <t xml:space="preserve">Part 2: Greater London Authority: London Assembly (“Assembly”) draft component budget </t>
  </si>
  <si>
    <t>GLA Gross Expenditure in Consultation Budget</t>
  </si>
  <si>
    <t>GLA Gross Expenditure in Stat calculations</t>
  </si>
  <si>
    <t>estimated expenditure of the Assembly  for the year calculated in accordance with s85(4)(a) of the GLA Act</t>
  </si>
  <si>
    <t>estimated allowance for contingencies for the Assembly under s85(4)(b) of the GLA Act</t>
  </si>
  <si>
    <t>estimated reserves to be raised for meeting future expenditure of the Assembly under s85(4)(c) of the GLA Act</t>
  </si>
  <si>
    <t>estimate of reserves to meet a revenue account deficit of the Assembly under s85(4)(d) of the GLA Act</t>
  </si>
  <si>
    <t>aggregate of the amounts for the items set out in s85(4) of the GLA Act for the Assembly (lines (15) + (16) + (17) + (18) above)</t>
  </si>
  <si>
    <t>rounding</t>
  </si>
  <si>
    <r>
      <t xml:space="preserve">estimate of the Assembly’s income </t>
    </r>
    <r>
      <rPr>
        <u/>
        <sz val="11"/>
        <color theme="1"/>
        <rFont val="Foundry Form Sans"/>
      </rPr>
      <t>not</t>
    </r>
    <r>
      <rPr>
        <sz val="11"/>
        <color theme="1"/>
        <rFont val="Foundry Form Sans"/>
      </rPr>
      <t xml:space="preserve"> in respect of Government grant, retained business rates or council tax precept calculated in accordance with s85(5)(a) of the GLA Act </t>
    </r>
  </si>
  <si>
    <t>Reconciliation</t>
  </si>
  <si>
    <t>estimate of the Assembly’s special &amp; specific government grant income calculated in accordance with s85(5)(a) of the GLA Act</t>
  </si>
  <si>
    <t>estimate of the Assembly’s income in respect of general government grants (revenue support grant) calculated in accordance with s85(5)(a) of the GLA Act</t>
  </si>
  <si>
    <t xml:space="preserve">estimate of the Assembly’s income in respect of retained business rates including related section 31 grant income calculated in accordance with s85(5)(a) of the GLA Act </t>
  </si>
  <si>
    <t>estimate of the Assembly’s share of any net collection fund surplus for the 33 London billing authorities calculated in accordance with s85(5)(a) of the GLA Act</t>
  </si>
  <si>
    <t>aggregate of the amounts for the items set out in section 85(5)(a) of the GLA Act (line (20) + (21) + (22) + (23)+ (24))</t>
  </si>
  <si>
    <t>estimate of Assembly’s reserves to be used in meeting amounts in lines (15) and (16) above under s85(5)(b) of the GLA Act</t>
  </si>
  <si>
    <t>aggregate of the amounts for the items set out in section 85(5) of the GLA Act for the Assembly (lines (25) + (26) above)</t>
  </si>
  <si>
    <t>the component council tax requirement for the Assembly (being the amount by which the aggregate at (19) above exceeds the aggregate at (27) above calculated in accordance with section 85(6) of the GLA Act)</t>
  </si>
  <si>
    <t xml:space="preserve">Part 3: Mayor’s Office for Policing and Crime (“MOPAC”) draft component budget </t>
  </si>
  <si>
    <t>estimated expenditure of the MOPAC calculated in accordance with s85(4)(a) of the GLA Act</t>
  </si>
  <si>
    <t>estimated allowance for contingencies for the MOPAC under s85(4)(b) of the GLA Act</t>
  </si>
  <si>
    <t>estimated reserves to be raised for meeting future expenditure of the MOPAC under s85(4)(c) of the GLA Act</t>
  </si>
  <si>
    <t>estimate of reserves to meet a revenue account deficit of the MOPAC under s85(4)(d) of the GLA Act</t>
  </si>
  <si>
    <t>aggregate of the amounts for the items set out in s85(4) of the GLA Act for the MOPAC (lines (27) + (28) + (29) + (30) above)</t>
  </si>
  <si>
    <r>
      <t xml:space="preserve">estimate of the MOPAC’s income </t>
    </r>
    <r>
      <rPr>
        <u/>
        <sz val="11"/>
        <color theme="1"/>
        <rFont val="Foundry Form Sans"/>
      </rPr>
      <t>not</t>
    </r>
    <r>
      <rPr>
        <sz val="11"/>
        <color theme="1"/>
        <rFont val="Foundry Form Sans"/>
      </rPr>
      <t xml:space="preserve"> in respect of Government grant, retained business rates or council tax precept calculated in accordance with s85(5)(a) of the GLA Act</t>
    </r>
  </si>
  <si>
    <t>estimate of the MOPAC’s special &amp; specific government grant income calculated in accordance with s85(5)(a) of the GLA Act</t>
  </si>
  <si>
    <t>estimate of the MOPAC’s income in respect of general government grants (revenue support grant, core Home Office police grant and principal police formula grant) calculated in accordance with s85(5)(a) of the GLA Act</t>
  </si>
  <si>
    <t>estimate of the MOPAC’s income in respect of retained business rates including related section 31 grant income calculated in accordance with s85(5)(a) of the GLA Act</t>
  </si>
  <si>
    <t>estimate of MOPAC’s share of any net collection fund surplus  for the 33 London billing authorities calculated in accordance with s85(5)(a) of the GLA Act</t>
  </si>
  <si>
    <t>aggregate of the amounts for the items set out in section 85(5)(a) of the GLA Act (lines (34) + (35) + (36) + (37) +(38))</t>
  </si>
  <si>
    <t>estimate of MOPAC’s reserves to be used in meeting amounts in lines (29) and (30) above under s85(5)(b) of the GLA Act</t>
  </si>
  <si>
    <t>aggregate of the amounts for the items set out in section 85(5) of the GLA Act for the MOPAC (lines (39) + (40) above)</t>
  </si>
  <si>
    <t>the component council tax requirement for MOPAC (being the amount by which the aggregate at (33) above exceeds the aggregate at (41) above calculated in accordance with section 85(6) of the GLA Act)</t>
  </si>
  <si>
    <t xml:space="preserve">Part 4: London Fire Commissioner (“LFC”) draft component budget </t>
  </si>
  <si>
    <t>estimated expenditure of LFEPA for the year calculated in accordance with s85(4)(a) of the GLA Act</t>
  </si>
  <si>
    <t>estimated allowance for contingencies for LFEPA under s85(4)(b) of the GLA Act</t>
  </si>
  <si>
    <t>estimated reserves to be raised for meeting future expenditure of LFEPA under s85(4)(c) of the GLA Act</t>
  </si>
  <si>
    <t>estimate of reserves to meet a revenue account deficit of LFEPA under s85(4)(d) of the GLA Act</t>
  </si>
  <si>
    <t>aggregate of the amounts for the items set out in s85(4) of the GLA Act for LFEPA (lines (40) + (41) + (42) + (43) above)</t>
  </si>
  <si>
    <r>
      <t xml:space="preserve">estimate of LFEPA’s income </t>
    </r>
    <r>
      <rPr>
        <u/>
        <sz val="11"/>
        <color theme="1"/>
        <rFont val="Foundry Form Sans"/>
      </rPr>
      <t>not</t>
    </r>
    <r>
      <rPr>
        <sz val="11"/>
        <color theme="1"/>
        <rFont val="Foundry Form Sans"/>
      </rPr>
      <t xml:space="preserve"> in respect of Government grant, retained business rates or council tax precept calculated in accordance with s85(5)(a) of the GLA Act</t>
    </r>
  </si>
  <si>
    <t>estimate of LFEPA’s special &amp; specific government grant income calculated in accordance with s85(5)(a) of the GLA Act</t>
  </si>
  <si>
    <t>estimate of LFEPA’s income in respect of general government grants (revenue support grant) calculated in accordance with s85(5)(a) of the GLA Act</t>
  </si>
  <si>
    <t>estimate of LFEPA’s income in respect of retained business rates including related section 31 grant income calculated in accordance with s85(5)(a) of the GLA Act</t>
  </si>
  <si>
    <t>estimate of LFEPA’s share of any net collection fund surplus for the 33 London billing authorities calculated in accordance with s85(5)(a) of the GLA Act</t>
  </si>
  <si>
    <t>aggregate of the amounts for the items set out in section 85(5)(a) of the GLA Act (lines (48) + (49) + (50) + (51) + (52))</t>
  </si>
  <si>
    <t>estimate of LFEPA’s reserves to be used in meeting amounts in lines (43) and (44) above under s85(5)(b) of the GLA Act</t>
  </si>
  <si>
    <t>aggregate of the amounts for the items set out in section 85(5) of the GLA Act for LFEPA (lines (53) + (54) above)</t>
  </si>
  <si>
    <t>the component council tax requirement for LFEPA (being the amount by which the aggregate at (47) above exceeds the aggregate at (55) above calculated in accordance with section 85(6) of the GLA Act)</t>
  </si>
  <si>
    <t xml:space="preserve">Part 5: Transport for London (“TfL”) draft component budget </t>
  </si>
  <si>
    <t>estimated expenditure of TfL for the year calculated in accordance with s85(4)(a) of the GLA Act</t>
  </si>
  <si>
    <t>estimated allowance for contingencies for TfL under s85(4)(b) of the GLA Act</t>
  </si>
  <si>
    <t>estimated reserves to be raised for meeting future expenditure of TfL under s85(4)(c) of the GLA Act</t>
  </si>
  <si>
    <t>estimate of reserves to meet a revenue account deficit of TfL under s85(4)(d) of the GLA Act</t>
  </si>
  <si>
    <t>aggregate of the amounts for the items set out in s85(4) of the GLA Act for the TfL (lines (53) + (54) + (55) + (56) above)</t>
  </si>
  <si>
    <r>
      <t xml:space="preserve">estimate of TfL’s income </t>
    </r>
    <r>
      <rPr>
        <u/>
        <sz val="11"/>
        <color theme="1"/>
        <rFont val="Foundry Form Sans"/>
      </rPr>
      <t>not</t>
    </r>
    <r>
      <rPr>
        <sz val="11"/>
        <color theme="1"/>
        <rFont val="Foundry Form Sans"/>
      </rPr>
      <t xml:space="preserve"> in respect of Government grant, retained business rates or council tax precept calculated in accordance with s85(5)(a) of the GLA Act</t>
    </r>
  </si>
  <si>
    <t>estimate of TfL’s special &amp; specific government grant income calculated in accordance with s85(5)(a) of the GLA Act</t>
  </si>
  <si>
    <t>estimate of TfL’s income in respect of general government grants (revenue support grant and GLA Transport General Grant) calculated in accordance with s85(5)(a) of the GLA Act</t>
  </si>
  <si>
    <t>estimate of TfL’s income in respect of retained business rates including related section 31 grant income calculated in accordance with s85(5)(a) of the GLA Act</t>
  </si>
  <si>
    <t>estimate of TfL’s share of any net collection fund surplus  for the 33 London billing authorities calculated in accordance with s85(5)(a) of the GLA Act</t>
  </si>
  <si>
    <t>aggregate of the amounts for the items set out in section 85(5)(a) of the GLA Act for TfL (lines (62) + (63) + (64) + (65) + (66) above)</t>
  </si>
  <si>
    <t>estimate of TfL’s reserves to be used in meeting amounts in lines (57) and (58) above under s85(5) (b) of the GLA Act</t>
  </si>
  <si>
    <t>aggregate of the amounts for the items set out in section 85(5) of the GLA Act (lines (67) + (68))</t>
  </si>
  <si>
    <t>the component council tax requirement for TfL (being the amount by which the aggregate at (61) above exceeds the aggregate at (69) above calculated in accordance with section 85(6) of the GLA Act)</t>
  </si>
  <si>
    <t xml:space="preserve">Part 6: London Legacy Development Corporation (“LLDC”) draft component budget </t>
  </si>
  <si>
    <t>estimated expenditure of LLDC for the year calculated in accordance with s85(4)(a) of the GLA Act</t>
  </si>
  <si>
    <t>estimated allowance for contingencies for LLDC under s85(4)(b) of the GLA Act</t>
  </si>
  <si>
    <t>estimated reserves to be raised for meeting future expenditure of LLDC under s85(4)(c) of the GLA Act</t>
  </si>
  <si>
    <t>estimate of reserves to meet a revenue account deficit of LLDC under s85(4)(d) of the GLA Act</t>
  </si>
  <si>
    <t>aggregate of the amounts for the items set out in s85(4) of the GLA Act for LLDC (lines (71) + (72) + (73) + (74) above)</t>
  </si>
  <si>
    <r>
      <t xml:space="preserve">estimate of LLDC’s income </t>
    </r>
    <r>
      <rPr>
        <u/>
        <sz val="11"/>
        <color theme="1"/>
        <rFont val="Foundry Form Sans"/>
      </rPr>
      <t>not</t>
    </r>
    <r>
      <rPr>
        <sz val="11"/>
        <color theme="1"/>
        <rFont val="Foundry Form Sans"/>
      </rPr>
      <t xml:space="preserve"> in respect of Government grant, retained business rates or council tax precept calculated in accordance with s85(5)(a) of the GLA Act</t>
    </r>
  </si>
  <si>
    <t>estimate of LLDC’s special &amp; specific government grant income calculated in accordance with s85(5)(a) of the GLA Act</t>
  </si>
  <si>
    <t>estimate of LLDC’s income in respect of general government grants (revenue support grant) calculated in accordance with s85(5)(a) of the GLA Act</t>
  </si>
  <si>
    <t>estimate of LLDC’s income in respect of retained business rates including related section 31 grant income calculated in accordance with s85(5)(a) of the GLA Act</t>
  </si>
  <si>
    <t>estimate of LLDC’s share of the net collection fund surplus or deficit for the 33 London billing authorities calculated in accordance with s85(5)(a) of the GLA Act</t>
  </si>
  <si>
    <t>aggregate of the amounts for the items set out in section 85(5)(a) of the GLA Act (lines (76) + (77) + (78) + (79) + (80))</t>
  </si>
  <si>
    <t>estimate of LLDC’s reserves to be used in meeting amounts in lines (71) and (72) above under s85(5)(b) of the GLA Act</t>
  </si>
  <si>
    <t>aggregate of the amounts for the items set out in section 85(5) of the GLA Act for LLDC  (lines (81) + (82) above)</t>
  </si>
  <si>
    <t>the component council tax requirement for LLDC (being the amount by which the aggregate at (75) above exceeds the aggregate at (83) above calculated in accordance with section 85(6) of the GLA Act)</t>
  </si>
  <si>
    <t xml:space="preserve">Part 7: Old Oak Park Royal Legacy Development Corporation (“OPDC”) draft component budget </t>
  </si>
  <si>
    <t>estimated expenditure of OPDC for the year calculated in accordance with s85(4)(a) of the GLA Act</t>
  </si>
  <si>
    <t>estimated allowance for contingencies for OPDC under s85(4)(b) of the GLA Act</t>
  </si>
  <si>
    <t>estimated reserves to be raised for meeting future expenditure of OPDC under s85(4)(c) of the GLA Act</t>
  </si>
  <si>
    <t>estimate of reserves to meet a revenue account deficit of OPDC under s85(4)(d) of the GLA Act</t>
  </si>
  <si>
    <t>aggregate of the amounts for the items set out in s85(4) of the GLA Act for OPDC (lines (71) + (72) + (73) + (74) above)</t>
  </si>
  <si>
    <t>estimate of OPDC’s income not in respect of Government grant, retained business rates or council tax precept calculated in accordance with s85(5)(a) of the GLA Act</t>
  </si>
  <si>
    <t>estimate of OPDC’s special &amp; specific government grant income calculated in accordance with s85(5)(a) of the GLA Act</t>
  </si>
  <si>
    <t>estimate of OPDC’s income in respect of general government grants (revenue support grant) calculated in accordance with s85(5)(a) of the GLA Act</t>
  </si>
  <si>
    <t>estimate of OPDC’s income in respect of retained business rates including related section 31 grant income calculated in accordance with s85(5)(a) of the GLA Act</t>
  </si>
  <si>
    <t>estimate of OPDC’s share of the net collection fund surplus or deficit for the 33 London billing authorities calculated in accordance with s85(5)(a) of the GLA Act</t>
  </si>
  <si>
    <t>estimate of OPDC’s reserves to be used in meeting amounts in lines (71) and (72) above under s85(5)(b) of the GLA Act</t>
  </si>
  <si>
    <t>aggregate of the amounts for the items set out in section 85(5) of the GLA Act for OPDC  (lines (81) + (82) above)</t>
  </si>
  <si>
    <t>the component council tax requirement for OPDC (being the amount by which the aggregate at (75) above exceeds the aggregate at (83) above calculated in accordance with section 85(6) of the GLA Act)</t>
  </si>
  <si>
    <t>Part 7: The Greater London Authority (“GLA") draft consolidated council tax requirement calculations</t>
  </si>
  <si>
    <t>the GLA’s consolidated council tax requirement (the sum of the amounts in lines (14) + (28) + (42) + (56) + (70) + (84) calculated in accordance with section 85(8) of the GLA Act)</t>
  </si>
  <si>
    <t>Taxbase</t>
  </si>
  <si>
    <t>Non police</t>
  </si>
  <si>
    <t>Police</t>
  </si>
  <si>
    <t>Constituent body</t>
  </si>
  <si>
    <t>Component council tax requirement</t>
  </si>
  <si>
    <t>Mayor of London</t>
  </si>
  <si>
    <t>London Assembly</t>
  </si>
  <si>
    <t xml:space="preserve">Transport for London </t>
  </si>
  <si>
    <t>Total Consolidated Council Tax Requirement</t>
  </si>
  <si>
    <t>Planned use of Reserve in 18-19 Budget</t>
  </si>
  <si>
    <t>Carry Forward held in MDC Reserve for use in 18-19</t>
  </si>
  <si>
    <t>Additional Call on Reserve following MD</t>
  </si>
  <si>
    <t>Replacement of reserve usage in 2018-19</t>
  </si>
  <si>
    <t>Contingency for 2019-20 or future years</t>
  </si>
  <si>
    <t>Additional Resource required for MDC Reserve</t>
  </si>
  <si>
    <t>NB only £4.1m core balance and OPDC movements shown (LLDC drawdowns in 2018-19 excluded)</t>
  </si>
  <si>
    <t>MDC Reserve</t>
  </si>
  <si>
    <t>Opening balance</t>
  </si>
  <si>
    <t>Transfer in for OPDC</t>
  </si>
  <si>
    <t>Transfer in for LLDC carry forwards</t>
  </si>
  <si>
    <t>Transfer out: use of LLDC carry forwards</t>
  </si>
  <si>
    <t xml:space="preserve">Transfer out: OPDC contingency </t>
  </si>
  <si>
    <t>Closing balance</t>
  </si>
  <si>
    <t>Business Rates  Reserve</t>
  </si>
  <si>
    <t>Transfer out: LLDC stadium funding</t>
  </si>
  <si>
    <t>Transfer out: Group Procurement</t>
  </si>
  <si>
    <t>Transfer in for replacement of reserve usage</t>
  </si>
  <si>
    <t>Stratetgic Investment Fund Reserve</t>
  </si>
  <si>
    <t>Transfer in: Business rates income</t>
  </si>
  <si>
    <t>Transfer out: SIF projects</t>
  </si>
  <si>
    <t>Forecast council tax collection fund surplus not yet allocated by Mayor</t>
  </si>
  <si>
    <t>OPDC expenditure funded from Group Items</t>
  </si>
  <si>
    <t>LLDC loan interest receipts</t>
  </si>
  <si>
    <t>LLDC interest receipts</t>
  </si>
  <si>
    <t>Forecast council tax collection fund (surplus) not yet allocated by Mayor</t>
  </si>
  <si>
    <t>Business rates income</t>
  </si>
  <si>
    <t>Total GLA Group item income</t>
  </si>
  <si>
    <t>Net transfer to/(from) BRR</t>
  </si>
  <si>
    <t>Net transfer to/(from) MDC</t>
  </si>
  <si>
    <t>Net GLA Group items</t>
  </si>
  <si>
    <t>GLA Reserve</t>
  </si>
  <si>
    <t>CT Collection Fund</t>
  </si>
  <si>
    <t>BRR</t>
  </si>
  <si>
    <t>Additional Funding</t>
  </si>
  <si>
    <t>CT Collection fund Surplus</t>
  </si>
  <si>
    <t>BRR reallocation from LFC to MOPAC</t>
  </si>
  <si>
    <t>Diesel Scrappage (DE&amp;E)</t>
  </si>
  <si>
    <t>Tourism (DE&amp;E)</t>
  </si>
  <si>
    <t>MDC Reserve Top-Up (transfer to reserves)</t>
  </si>
  <si>
    <t>Major events reserve (transfer to reserves)</t>
  </si>
  <si>
    <t>VRU One-Offs (MOPAC)</t>
  </si>
  <si>
    <t>Ongoing VRU (MOPAC)</t>
  </si>
  <si>
    <t>2026-27</t>
  </si>
  <si>
    <t>2023-24 council tax requirement</t>
  </si>
  <si>
    <t>&lt;Movement in CTAX requirement</t>
  </si>
  <si>
    <t>&lt;Movement in Financing requirement</t>
  </si>
  <si>
    <t>&lt;Movement in Net Cost of Services</t>
  </si>
  <si>
    <t>&lt;Movement in Gross Expenditure</t>
  </si>
  <si>
    <t xml:space="preserve">&lt;23-24 closing vs 25-26 closing </t>
  </si>
  <si>
    <t>&lt;Movement in Directorate expenditure</t>
  </si>
  <si>
    <t>Gap to be funded</t>
  </si>
  <si>
    <t>Grand Total</t>
  </si>
  <si>
    <t>Transfer to/ (from) reserves held for GLA services</t>
  </si>
  <si>
    <t>Missions and Foundations</t>
  </si>
  <si>
    <t>Specific grants and contingency</t>
  </si>
  <si>
    <t>A Robust Safety Net</t>
  </si>
  <si>
    <t>High Streets For All</t>
  </si>
  <si>
    <t>A New Deal For Young People</t>
  </si>
  <si>
    <t xml:space="preserve">Helping Londoners Into Good Work </t>
  </si>
  <si>
    <t>Mental Health &amp; Wellbeing</t>
  </si>
  <si>
    <t>Digital Access For All</t>
  </si>
  <si>
    <t>Building Strong Communities</t>
  </si>
  <si>
    <t/>
  </si>
  <si>
    <t>Public Health And Health &amp; Care Partnerships</t>
  </si>
  <si>
    <t>Equality, Diversity And Inclusion</t>
  </si>
  <si>
    <t>Transport And Infrastructure</t>
  </si>
  <si>
    <t>Supporting Businesses, Jobs And Growth</t>
  </si>
  <si>
    <t>Capital Investment, Including Affordable Housing Programme</t>
  </si>
  <si>
    <t>Recovery Programme Support</t>
  </si>
  <si>
    <t>Hr</t>
  </si>
  <si>
    <t>Mayor'S Office</t>
  </si>
  <si>
    <t>Cmt</t>
  </si>
  <si>
    <t>Museum Of London</t>
  </si>
  <si>
    <t>Transport Services Funding Reserve</t>
  </si>
  <si>
    <t>&lt;movement in planned use of reserve</t>
  </si>
  <si>
    <t>&lt;net change in service expenditure, excluding reserves</t>
  </si>
  <si>
    <t>24-25 mov</t>
  </si>
  <si>
    <t>25-26 mov</t>
  </si>
  <si>
    <t>interest receipts 21-22</t>
  </si>
  <si>
    <t>green bond/ a new deal for londoners?!</t>
  </si>
  <si>
    <t>directorate reprofiling (carry forwards)</t>
  </si>
  <si>
    <t>MO decision</t>
  </si>
  <si>
    <t>22-23 DLUHC General Services Grant</t>
  </si>
  <si>
    <t>TOTAL</t>
  </si>
  <si>
    <t>22-23</t>
  </si>
  <si>
    <t>Variance between both tabels above/ below (BRR)</t>
  </si>
  <si>
    <t>Variance between both tabels above/ below (NLE)</t>
  </si>
  <si>
    <t>Variance between both tabels above/ below (MDC)</t>
  </si>
  <si>
    <t>Variance between both tabels above/ below (TRANSPORT)</t>
  </si>
  <si>
    <t>Variance between both tabels above/ below (GLA Mayor)</t>
  </si>
  <si>
    <t>Variance between both tabels above/ below (Capital programme)</t>
  </si>
  <si>
    <t>Variance between both tabels above/ below (LLDC)</t>
  </si>
  <si>
    <t>Variance between both tabels above/ below (Assembly)</t>
  </si>
  <si>
    <t>Variance between both tabels above/ below (General)</t>
  </si>
  <si>
    <t>Variance between both tabels above/ below (SIF)</t>
  </si>
  <si>
    <t>Housing Expenditure</t>
  </si>
  <si>
    <t>Crossrail expenditure</t>
  </si>
  <si>
    <t>NLE and LLDC expenditure</t>
  </si>
  <si>
    <t>Regeneration and other expenditure</t>
  </si>
  <si>
    <t>Funded by Brates</t>
  </si>
  <si>
    <t>Funded by BRR</t>
  </si>
  <si>
    <t>Variance in movement to MDC reserve</t>
  </si>
  <si>
    <t>Variance in movement to SIF reserve</t>
  </si>
  <si>
    <t>Variance in movement to NLE reserve</t>
  </si>
  <si>
    <t>Variance in movement to BRR reserve</t>
  </si>
  <si>
    <t>Funded by SIF Reserve</t>
  </si>
  <si>
    <t>Funded by NLE reserve</t>
  </si>
  <si>
    <t>Transfer to/from (-) Transport reserve</t>
  </si>
  <si>
    <t>Variance in movement to Transport reserve</t>
  </si>
  <si>
    <t>Funded by MDC</t>
  </si>
  <si>
    <t>Included 22-23 BARR movements in the BRR and removed the reserve</t>
  </si>
  <si>
    <t>Martin MDC movement</t>
  </si>
  <si>
    <t>LLDC Movement</t>
  </si>
  <si>
    <t>OPDC Movement</t>
  </si>
  <si>
    <t>BRR topup</t>
  </si>
  <si>
    <t>My movement</t>
  </si>
  <si>
    <t xml:space="preserve">&lt;adjusted crossrail funding </t>
  </si>
  <si>
    <t>Multiplier cap compensation</t>
  </si>
  <si>
    <t>Billing authority repayment of pandemic relief deficits</t>
  </si>
  <si>
    <t>£9m for crystal palace</t>
  </si>
  <si>
    <t>NNDR income unallocated In year</t>
  </si>
  <si>
    <t>deferred income 21-22</t>
  </si>
  <si>
    <t xml:space="preserve">&lt;&lt;&lt; Check with Neil </t>
  </si>
  <si>
    <t>Keep for next iterations of budget</t>
  </si>
  <si>
    <t>GLA Revenue expenditure Funded from Group Items</t>
  </si>
  <si>
    <t>&lt;Changed this line to match LLDC table, adjusted borrowing</t>
  </si>
  <si>
    <t>Crystal palace</t>
  </si>
  <si>
    <t>affordable housing</t>
  </si>
  <si>
    <t>economic recovery</t>
  </si>
  <si>
    <t>climate emergency</t>
  </si>
  <si>
    <t xml:space="preserve">Opportunities for young people </t>
  </si>
  <si>
    <t xml:space="preserve">Crystal palance profile last year </t>
  </si>
  <si>
    <t>Balance</t>
  </si>
  <si>
    <t>amount reffered to on capital receipts reserve last year</t>
  </si>
  <si>
    <t>The MDC 22-23 opening balance was £17,964k. Of that balance £1,377k is reserved for OPDC to drawdown in 22-23 and £5.1m for LLDC (approved in our feb budget).</t>
  </si>
  <si>
    <t>Ray indicated that there is an additional £5m pressure for 22-23 and £10m for 23-24 that LLDC will need to fund.</t>
  </si>
  <si>
    <t>£'000</t>
  </si>
  <si>
    <t>Opening 22-23 balance</t>
  </si>
  <si>
    <t xml:space="preserve">LLDC </t>
  </si>
  <si>
    <t>Unallocated Balance</t>
  </si>
  <si>
    <t>LLDC Revenue (MDC reserve)</t>
  </si>
  <si>
    <t>OPDC Revenue (MDC reserve)</t>
  </si>
  <si>
    <t>GLA: Mayor (BRR)</t>
  </si>
  <si>
    <t>TfL (Transport reserve)</t>
  </si>
  <si>
    <t>Revenue Double Counts in group items table</t>
  </si>
  <si>
    <t>Capital Double counts in the group items table</t>
  </si>
  <si>
    <t>Revenue Double Counts in GLA: Mayor</t>
  </si>
  <si>
    <t>LLDC Capital funding</t>
  </si>
  <si>
    <t>Capital Double Counts in GLA: Mayor</t>
  </si>
  <si>
    <t>TfL (Crossrail)</t>
  </si>
  <si>
    <t>TfL (NLE)</t>
  </si>
  <si>
    <t>Revenue Double Counts in TfL</t>
  </si>
  <si>
    <t>TfL (Elephant &amp; Castle)</t>
  </si>
  <si>
    <t>LLDC funding (different profile)</t>
  </si>
  <si>
    <t>TfL (deficits to be recovered)</t>
  </si>
  <si>
    <t>TfL Crossrail (Transport reserve)</t>
  </si>
  <si>
    <t>TfL (Contributions to their capital outturn)</t>
  </si>
  <si>
    <t>GLA expenditure Funded from Group Items</t>
  </si>
  <si>
    <t>TfL expenditure Funded from Group Items</t>
  </si>
  <si>
    <t xml:space="preserve">CORRECT £43.5M TO 43.3M </t>
  </si>
  <si>
    <r>
      <t>Provision for repayment of debt/ other grant payments - LLDC</t>
    </r>
    <r>
      <rPr>
        <vertAlign val="superscript"/>
        <sz val="11"/>
        <rFont val="Foundry Form Sans"/>
      </rPr>
      <t>1</t>
    </r>
  </si>
  <si>
    <r>
      <t>Transfer to/from reserves held for GLA services</t>
    </r>
    <r>
      <rPr>
        <vertAlign val="superscript"/>
        <sz val="11"/>
        <rFont val="Foundry Form Sans"/>
      </rPr>
      <t>2</t>
    </r>
  </si>
  <si>
    <r>
      <t>Funded by transport reserve / £</t>
    </r>
    <r>
      <rPr>
        <sz val="11"/>
        <color rgb="FFFF0000"/>
        <rFont val="Foundry Form Sans"/>
      </rPr>
      <t>43.5m for crossrail from BRR</t>
    </r>
  </si>
  <si>
    <t>Climate Action Area</t>
  </si>
  <si>
    <t>Climate Action</t>
  </si>
  <si>
    <t>Funding source</t>
  </si>
  <si>
    <t>Year funding starts</t>
  </si>
  <si>
    <t>Year funding ends</t>
  </si>
  <si>
    <t>Lifetime cumulative CO2e savings, tonnes</t>
  </si>
  <si>
    <t>Year emissions savings start</t>
  </si>
  <si>
    <t>Average annual CO2e savings to 2030, tonnes</t>
  </si>
  <si>
    <t>Co-benefits</t>
  </si>
  <si>
    <t>Capital/Revenue/Mixed</t>
  </si>
  <si>
    <t>Total cash savings 23-24 £'000</t>
  </si>
  <si>
    <t>Total cash savings 24-25 £'000</t>
  </si>
  <si>
    <t>Total cash savings 25-26 £'000</t>
  </si>
  <si>
    <t>Comments</t>
  </si>
  <si>
    <t>Buildings</t>
  </si>
  <si>
    <t>Building retrofit Cookers</t>
  </si>
  <si>
    <t>Replace 40 gas powered cookers with Electric</t>
  </si>
  <si>
    <t>Carbon reduction</t>
  </si>
  <si>
    <t>TBC</t>
  </si>
  <si>
    <t>LFC-0641</t>
  </si>
  <si>
    <t xml:space="preserve"> Capital </t>
  </si>
  <si>
    <t>Building retrofit - ASHP</t>
  </si>
  <si>
    <t>Replace 3 gas boiler with ASHP</t>
  </si>
  <si>
    <t>LFC0256</t>
  </si>
  <si>
    <t>Building retrofit -SPV</t>
  </si>
  <si>
    <t>Instal 4 Solar PV arrays</t>
  </si>
  <si>
    <t xml:space="preserve"> Energy bill savings </t>
  </si>
  <si>
    <t>Building retrofit windows</t>
  </si>
  <si>
    <t>Window replacement</t>
  </si>
  <si>
    <t>LFC0354</t>
  </si>
  <si>
    <t>Capital</t>
  </si>
  <si>
    <t>Buildings retrofit</t>
  </si>
  <si>
    <t>Appliance bay doors</t>
  </si>
  <si>
    <t>LFC0533Y + LFC0354Y</t>
  </si>
  <si>
    <t>LFC  0354</t>
  </si>
  <si>
    <t>Carbon Reduction</t>
  </si>
  <si>
    <t>LFC0354Y</t>
  </si>
  <si>
    <t>FWR</t>
  </si>
  <si>
    <t>Building retrofit roofing</t>
  </si>
  <si>
    <t>Roof replacement</t>
  </si>
  <si>
    <t>AWP</t>
  </si>
  <si>
    <t>Energy saving and carbon saving</t>
  </si>
  <si>
    <t>Current Asset Replacement Programme</t>
  </si>
  <si>
    <t>Replacement of hybrid pool cars to 50 electric vehicles</t>
  </si>
  <si>
    <t>LFC-0562</t>
  </si>
  <si>
    <t xml:space="preserve">Capital </t>
  </si>
  <si>
    <t>Replacement of 2 driver training cars</t>
  </si>
  <si>
    <t>Behaviour Change</t>
  </si>
  <si>
    <t>Carbon impact training</t>
  </si>
  <si>
    <t>Carbon impact training for all LFB staff- following on from the LFB senior leader carbon literacy training</t>
  </si>
  <si>
    <t>Internal staff rescouces</t>
  </si>
  <si>
    <t>N/A</t>
  </si>
  <si>
    <t>Carbon impact training is an enabling measure and will facilitate emissions reductions in other areas</t>
  </si>
  <si>
    <t>Asset Replacements</t>
  </si>
  <si>
    <t>The KPI will measure performance against the year end capital spend target and flag any delay / reduction in the delivery of elements contributing to decarbonisation.</t>
  </si>
  <si>
    <t>Green</t>
  </si>
  <si>
    <t>Asset replacements, building fabric and heat decarbonisation</t>
  </si>
  <si>
    <t>Recommended Impact Assessment modelled decarbonisation and energy efficiency measures, plus LED lighting.</t>
  </si>
  <si>
    <t xml:space="preserve">Decarbonisation benefits are taken from the Impact Assessment Model, including LED and lighting for these sites too. 
Line includes only 'in scope' works, as per approved OBC </t>
  </si>
  <si>
    <t>Asset replacements</t>
  </si>
  <si>
    <t>LED lighting system, BMS, Heat Recovery, Boiler Replacement, Fans</t>
  </si>
  <si>
    <t xml:space="preserve">The Project Savings forecast provided by the programme refer to the Energy Strategy outputs. This project does not include full heat decarbonisation. These revenue benefits have been converted to kWh, to calculate the carbon emissions savings, and utility savings are recalculated using Impact Assessment utility price forecasts. </t>
  </si>
  <si>
    <t>Decarbonisation benefits are taken from the Impact Assessment Model, including LED lighting savings.
FBC</t>
  </si>
  <si>
    <t>Adjusting building occupancy and vacating buildings</t>
  </si>
  <si>
    <t>The KPI will indicate any delay / reduction in the delivery of elements contributing to decarbonisation (vacating buildings)</t>
  </si>
  <si>
    <t>Amber</t>
  </si>
  <si>
    <t xml:space="preserve">Significant carbon and revenue benefits are delivered as a result of the Estate Transformation Programme. The revenue savings listed relate solely to the direct kWh utility savings used for the carbon emissions savings calculations. No capital changes from the programme are shown in this spreadsheet. 
The Estate Transformation programme is currently undergoing a review, which may adjust the building being sold. Any detrimental changes will have a direct effect on the carbon benefits shown (hence the Amber KPI status). </t>
  </si>
  <si>
    <t xml:space="preserve">Transport </t>
  </si>
  <si>
    <t>Fleet - Enabling Project (Tech)</t>
  </si>
  <si>
    <t xml:space="preserve">Key enabling technology for achieving Met Zero compliance. Attached to a vehicle this technology will monitoring the health and location of a Met vehicle using GPS technology.  </t>
  </si>
  <si>
    <t>2020/21</t>
  </si>
  <si>
    <t xml:space="preserve">Enabler </t>
  </si>
  <si>
    <t xml:space="preserve">This will support the future deployment and charging strategies of the Met Fleet. </t>
  </si>
  <si>
    <t xml:space="preserve">Project Odyn is a current Telematics Trail project with supplier. 100 Met vehicles installed and testing </t>
  </si>
  <si>
    <t>tbc</t>
  </si>
  <si>
    <t>A reduction in over all fleet size is expected due to optimisation, using the information this telematics project will provide</t>
  </si>
  <si>
    <t xml:space="preserve">Transport / PSD </t>
  </si>
  <si>
    <t xml:space="preserve">Installation of Estates EV charging infrastructure </t>
  </si>
  <si>
    <t>Implementation programme for the installation of 600 additional vehicle electric charging points across the MPS estate. To support ULEZ fleet hybridisation.</t>
  </si>
  <si>
    <t>Support the roll out of the planned hybridization and electrification of the Met general purpose fleet:</t>
  </si>
  <si>
    <t xml:space="preserve">Additional  charging points installed to match increase of hybrid vehicles on fleet </t>
  </si>
  <si>
    <t xml:space="preserve">Charging infrastructure - support ULEZ vehicles only –  includes feasibility study into MET estate charging capacity &amp; requirements 
</t>
  </si>
  <si>
    <t>MOPAC-P.1</t>
  </si>
  <si>
    <t>MOPAC-P.2</t>
  </si>
  <si>
    <t>MOPAC-P.3</t>
  </si>
  <si>
    <t>MOPAC-P.4</t>
  </si>
  <si>
    <t>MOPAC-P.5</t>
  </si>
  <si>
    <t>MOPAC-F.1</t>
  </si>
  <si>
    <t>MOPAC-F.2</t>
  </si>
  <si>
    <t>LFC-A.1</t>
  </si>
  <si>
    <t>LFC-A.2</t>
  </si>
  <si>
    <t>LFC-A.3</t>
  </si>
  <si>
    <t>LFC-A.4</t>
  </si>
  <si>
    <t>LFC-A.5</t>
  </si>
  <si>
    <t>LFC-A.6</t>
  </si>
  <si>
    <t>LFC-A.7</t>
  </si>
  <si>
    <t>LFC-A.8</t>
  </si>
  <si>
    <t>LFC-A.9</t>
  </si>
  <si>
    <t>LFC-A.10</t>
  </si>
  <si>
    <t>LFC-A.11</t>
  </si>
  <si>
    <t>Public Realm</t>
  </si>
  <si>
    <t>Low Energy Lighting</t>
  </si>
  <si>
    <t>Street Lighting Replacement luminaires for replacement across the Park and roadways</t>
  </si>
  <si>
    <t>Energy Efficiency
Annual energy savings
• in MWh = 128/yr / GWh (electricity)
• GJ/TJ (other energy savings)</t>
  </si>
  <si>
    <t>Reduction in annual kWh (tbc) usage against basline</t>
  </si>
  <si>
    <t>Number of lights replcaed? Approximately 320 luminaires. How carbon is calculated? Refer to H2</t>
  </si>
  <si>
    <t>Energy Efficient water pumps</t>
  </si>
  <si>
    <t xml:space="preserve">London Aquatics Centre – Pool circulation pumps replacement </t>
  </si>
  <si>
    <t>Energy Efficiency
Annual energy savings
• in MWh = 208/ yr /GWh (electricity)
• GJ/TJ (other energy savings)</t>
  </si>
  <si>
    <t>-</t>
  </si>
  <si>
    <t>Copper Box Arena – Perimiter, Gym and Circulation Corridors Lighting replacement of flouresent lighting with LED lighting. Aprox. 200.</t>
  </si>
  <si>
    <t>Energy Efficiency
Annual energy savings
• in MWh = 13/ yr /GWh (electricity)
• GJ/TJ (other energy savings)</t>
  </si>
  <si>
    <t>Energy saving estimated at 41%. Cost saving over life of the lamps at average 40,000hrs £42.2k.</t>
  </si>
  <si>
    <t>Solar photovoltaic panels</t>
  </si>
  <si>
    <t>4 x London Stadium Solar PV installations:  Workforce Entrance, Bridge 4, Bridge 1, Chiller Canopy</t>
  </si>
  <si>
    <t>LLDC Carbon Offset Fund Grant</t>
  </si>
  <si>
    <t>Staff/ visitors educational, green skills development opportunities
Renewable Energy
Annual renewable energy 
• in MWh = 114/ yr /GWh (electricity)
• GJ/TJ (other energy)</t>
  </si>
  <si>
    <t>kWh generated per year (tbc)</t>
  </si>
  <si>
    <t>Various system yields of 16,573; 48,615; 11,049;  38,671 kWh respectively per year</t>
  </si>
  <si>
    <t>LLDC-A.1</t>
  </si>
  <si>
    <t>LLDC-A.2</t>
  </si>
  <si>
    <t>LLDC-A.3</t>
  </si>
  <si>
    <t>LLDC-A.4</t>
  </si>
  <si>
    <t>Energy</t>
  </si>
  <si>
    <t>Local Area Energy Plan</t>
  </si>
  <si>
    <t>An action plan for local area energy resilience, capacity for growth and decarbonisation</t>
  </si>
  <si>
    <t>Capacity for future growth, local energy resilience</t>
  </si>
  <si>
    <t>Publication of Local Area Energy Plan</t>
  </si>
  <si>
    <t>Revenue</t>
  </si>
  <si>
    <t>Implementation of recommendation will be subject to further decision and commitment of funding</t>
  </si>
  <si>
    <t>OPDC-A.1</t>
  </si>
  <si>
    <t xml:space="preserve">Bus fleet </t>
  </si>
  <si>
    <t>Zero emission vehicles</t>
  </si>
  <si>
    <t>Zero emission fleet 2034</t>
  </si>
  <si>
    <t>Ongoing</t>
  </si>
  <si>
    <t>2033-34</t>
  </si>
  <si>
    <t xml:space="preserve">Air quality. </t>
  </si>
  <si>
    <t xml:space="preserve">Carbon savings from transition of diesel fleet to zero emission. </t>
  </si>
  <si>
    <t>Energy purchasing</t>
  </si>
  <si>
    <t>Power Purchase Agreements</t>
  </si>
  <si>
    <t xml:space="preserve">Renewables purchasing </t>
  </si>
  <si>
    <t xml:space="preserve">Ongoing </t>
  </si>
  <si>
    <t>2027-28</t>
  </si>
  <si>
    <t xml:space="preserve">Assumed cost neutral to existing purchasing strategy. Carbon profile aligned to TfL's energy purchasing strategy. </t>
  </si>
  <si>
    <t>Building retrofit (all modes)</t>
  </si>
  <si>
    <t xml:space="preserve">Removal of gas and energy efficiency </t>
  </si>
  <si>
    <t xml:space="preserve">Staff comfort, ambiance, air quality. </t>
  </si>
  <si>
    <t xml:space="preserve">Savings from reduction in energy cost. </t>
  </si>
  <si>
    <t>Vehicle fleet</t>
  </si>
  <si>
    <t xml:space="preserve">Transition of support fleet </t>
  </si>
  <si>
    <t>2030-31</t>
  </si>
  <si>
    <t>2023/25</t>
  </si>
  <si>
    <t>Converts circa 1,000 cars and vans in TfL support fleet to zero emission.  Does not cover circa 20 HGVs</t>
  </si>
  <si>
    <t>Tube</t>
  </si>
  <si>
    <t>Piccadilly line</t>
  </si>
  <si>
    <t>Trains &amp; associated line upgrades</t>
  </si>
  <si>
    <t>2031-32</t>
  </si>
  <si>
    <t xml:space="preserve">Reliability, ambience. </t>
  </si>
  <si>
    <t xml:space="preserve">Savings from reduction in energy cost. Improvements from regen braking and lighter rolling stock. </t>
  </si>
  <si>
    <t>Solar</t>
  </si>
  <si>
    <t xml:space="preserve">Private Wire project </t>
  </si>
  <si>
    <t>3rd party delivered solar installs</t>
  </si>
  <si>
    <t xml:space="preserve">Savings from reduction in energy cost as a result of directly connected renewables contracted through a PPA. </t>
  </si>
  <si>
    <t>Carbon training</t>
  </si>
  <si>
    <t>Carbon literacy training</t>
  </si>
  <si>
    <t>Roll out across TfL</t>
  </si>
  <si>
    <t xml:space="preserve">Adaptation. </t>
  </si>
  <si>
    <t>Carbon literacy training is being rolled out across TfL, with priorities including senior staff, staff involved in project delivery, and commercial staff to meet the commitment in the Responsible Procurement Implementation Plan</t>
  </si>
  <si>
    <t>Non building LEDs</t>
  </si>
  <si>
    <t>Bus Shelter - Courtesy Lights and Advertising panels </t>
  </si>
  <si>
    <t>Complete conversion</t>
  </si>
  <si>
    <t>Maintainable assets / material replacement availability. Potential for reduced maintenance, investment helps to maintain advertising income</t>
  </si>
  <si>
    <t>This project aims to retrofit LED lamps into Bus Shelter courtesy lights and advertising panels that currently utilise halogen &amp; fluorescent lighting. As the sale of halogen &amp; fluorescent lights are being phased out by August 2023 this will allow our revenue generating assets to continue to operate, but with a lower level of carbon emmissions, maintenance and energy requirements, leading to savings for TfL. The costs and the savings are based upon initial discussions with our maintenance contractors and advertising partner, and will be refined and amended as the project takes shape.</t>
  </si>
  <si>
    <t>TfL-A.1</t>
  </si>
  <si>
    <t>TfL-A.2</t>
  </si>
  <si>
    <t>TfL-A.3</t>
  </si>
  <si>
    <t>TfL-A.4</t>
  </si>
  <si>
    <t>TfL-A.5</t>
  </si>
  <si>
    <t>TfL-A.6</t>
  </si>
  <si>
    <t>TfL-A.7</t>
  </si>
  <si>
    <t>TfL-A.8</t>
  </si>
  <si>
    <t>Energy monitoring system to baseline  energy consumption for GLA building and identify relevant projects</t>
  </si>
  <si>
    <t xml:space="preserve">Use data to explore with Retrofit Accelerator- Workplaces opportunities for further energy saving projects. </t>
  </si>
  <si>
    <t>FM Budget</t>
  </si>
  <si>
    <t xml:space="preserve">2023-2024 </t>
  </si>
  <si>
    <t>2025-2026</t>
  </si>
  <si>
    <t>Enabler</t>
  </si>
  <si>
    <t>Contract to be in place 3 months after practical completion of the fit-out project.</t>
  </si>
  <si>
    <t>Mixed</t>
  </si>
  <si>
    <t>Complete LED lighting project at City Hall</t>
  </si>
  <si>
    <t>Some areas of City Hall were outside the scope of the refurbishment project carried out by ISG. This project will ensure the remaining areas at City Hall building are upgraded to the latest LED lighting. This will be done as a Capital project by the GLA FM team.</t>
  </si>
  <si>
    <t>2023-2024</t>
  </si>
  <si>
    <t>Contractor appointed by end of December 2022. Works to be completed by April 2023.</t>
  </si>
  <si>
    <t>Thermal comfort policy</t>
  </si>
  <si>
    <t>To ensure heating and cooling of the city hall building is compliant with legislation but doesn't waste energy.</t>
  </si>
  <si>
    <t>1st Draft to be ready for environment team to review by Jan 2023.</t>
  </si>
  <si>
    <t xml:space="preserve">Investigate pump optimisation and control at City Hall </t>
  </si>
  <si>
    <t>City Hall building has approx. 40 pumps used for various operational aspects of the building. A detailed survey will be carried out to ensure the pumps are running efficently and to the manafactures recommondation following Practical Completion of the fit-out project.</t>
  </si>
  <si>
    <t>To be completed 6 months after practical completion of the fit-out prject.</t>
  </si>
  <si>
    <t xml:space="preserve">City Hall mechanical vents refurbishment </t>
  </si>
  <si>
    <t>Achieve design parameters of the building by allowing natural cooling of the building in summer months. This project was outside the scope of the refurbishment project carried out by ISG. This will be done as a Capital project by the GLA FM team.</t>
  </si>
  <si>
    <t xml:space="preserve">2023-2024
</t>
  </si>
  <si>
    <t>Proposal from contractors to be ready by March 2023.  Project to be completed by December 2023.</t>
  </si>
  <si>
    <t>GLA-A.1</t>
  </si>
  <si>
    <t>GLA-A.2</t>
  </si>
  <si>
    <t>GLA-A.3</t>
  </si>
  <si>
    <t>GLA-A.4</t>
  </si>
  <si>
    <t>GLA-A.5</t>
  </si>
  <si>
    <t>Riverway Cottages</t>
  </si>
  <si>
    <t>Compressor House</t>
  </si>
  <si>
    <t>Reduced running costs</t>
  </si>
  <si>
    <t>Lighting Infrastructure - Dagenham</t>
  </si>
  <si>
    <t>Buildings and Infrastructure</t>
  </si>
  <si>
    <t>Collate Portfolio Baseline Utility Data for Year End March 2022</t>
  </si>
  <si>
    <t xml:space="preserve">Project commenced with Avison Young to capture exact usage data using their Alpha Energy consultant across the GLAP portfolio </t>
  </si>
  <si>
    <t>Mayor / GLAP</t>
  </si>
  <si>
    <t>1. Creation of reference point 
2. Ability to track and measure future emissions
3. Ability to measure reductions and rapidly adjust approach accordingly
4. Increased accuracy in financial budgeting
5. Identify redundant supplies
6. Identify energy management errors and equipment faults</t>
  </si>
  <si>
    <t>Production of all quarterly reports and final year end data collation</t>
  </si>
  <si>
    <t xml:space="preserve">The Estates team and Avison Young have recently commenced this project therefore emissions saving targets are currently an initial estimate. 
Detailed data has begun to be compiled and has been agreed to be provided by Avison Young going forward on a quarterly basis. </t>
  </si>
  <si>
    <t>Analysis of the 10 Riverway Cottages that GLAP own to ascertain the benefits and costs related to switching from gas to alternative system such as heat pump. Undertake feasibility study.</t>
  </si>
  <si>
    <t>Complete report</t>
  </si>
  <si>
    <t>This workstream is a combination of reviewing the current performance of the gas boilers in these properties and then assessing the impact any change to alternative energy sources would have. Funding for this assessment is within the GLAP Estates budget</t>
  </si>
  <si>
    <t>Building has recently been returned to GLAP after being leased to a third party. Assessments are being undertaken on the building to understand what services could be improved.</t>
  </si>
  <si>
    <t>Funding for this assessment is within the GLAP Estates budget</t>
  </si>
  <si>
    <t xml:space="preserve">GLAP are responsible for several kilometers of road in the Dagenham area. The lighting has been identified as old and this is currently being reviewed to ascertain if it can be improved at all and what the cost of replacing the lamps would be. </t>
  </si>
  <si>
    <t>GLAP-A.1</t>
  </si>
  <si>
    <t>GLAP-A.2</t>
  </si>
  <si>
    <t>GLAP-A.3</t>
  </si>
  <si>
    <t>GLAP-A.4</t>
  </si>
  <si>
    <t>GLAP</t>
  </si>
  <si>
    <t>Group</t>
  </si>
  <si>
    <t>Strategy &amp; Communications</t>
  </si>
  <si>
    <t>High Streets for All</t>
  </si>
  <si>
    <t>A New Deal for Young People</t>
  </si>
  <si>
    <t xml:space="preserve">Helping Londoners into Good Work </t>
  </si>
  <si>
    <t>Public Health and Health &amp; Care Partnerships</t>
  </si>
  <si>
    <t>Equality, Diversity and Inclusion</t>
  </si>
  <si>
    <t>Transport and Infrastructure</t>
  </si>
  <si>
    <t>Supporting Businesses, Jobs and Growth</t>
  </si>
  <si>
    <t>Capital Investment, including Affordable Housing Programme</t>
  </si>
  <si>
    <t>Mayor's Office</t>
  </si>
  <si>
    <t>23-24</t>
  </si>
  <si>
    <t>24-25</t>
  </si>
  <si>
    <t>25-26</t>
  </si>
  <si>
    <t>Incl specific grants</t>
  </si>
  <si>
    <t>Chief Officers Directorate</t>
  </si>
  <si>
    <t>Housing and Land</t>
  </si>
  <si>
    <t xml:space="preserve"> 22-23</t>
  </si>
  <si>
    <t xml:space="preserve"> 23-24</t>
  </si>
  <si>
    <t xml:space="preserve"> 24-25</t>
  </si>
  <si>
    <t xml:space="preserve"> 25-26</t>
  </si>
  <si>
    <t>Taken from BPC Paper</t>
  </si>
  <si>
    <t>Old</t>
  </si>
  <si>
    <t>Q2 position</t>
  </si>
  <si>
    <t>Add back specific grants</t>
  </si>
  <si>
    <t>https://www.london.gov.uk/about-us/londonassembly/meetings/documents/s102584/Appendices%201-7%20Q2%2022-23%20GLA%20Group%20Monitoring%20Reports.pdf</t>
  </si>
  <si>
    <t>Add c/f from 21-22</t>
  </si>
  <si>
    <t>Community renewal fund DLUHC 21-22</t>
  </si>
  <si>
    <t>Community Led Housing DLUHC 21-22</t>
  </si>
  <si>
    <t>RSI/COVID DLUHC 21-22</t>
  </si>
  <si>
    <t>Domestic abuse DLUHC 21-22</t>
  </si>
  <si>
    <t>Adult Expenditure Budget DfE 21-22</t>
  </si>
  <si>
    <t>Other grants 21-22</t>
  </si>
  <si>
    <t>Total Deferred income from 21-22</t>
  </si>
  <si>
    <t>A green new deal</t>
  </si>
  <si>
    <t>Good growth</t>
  </si>
  <si>
    <t>Q2 forecast movement</t>
  </si>
  <si>
    <t>Add directorate underspends</t>
  </si>
  <si>
    <t>Responsibility (dept)</t>
  </si>
  <si>
    <t>Capital/ Revenue/ Mixed</t>
  </si>
  <si>
    <t>Proposed cash savings 23-24 £'000</t>
  </si>
  <si>
    <t>Proposed cash savings 24-25 £'000</t>
  </si>
  <si>
    <t>Proposed cash savings 25-26 £'000</t>
  </si>
  <si>
    <t>Proposed cash savings 2026-27 to end 2030-2031 £'000</t>
  </si>
  <si>
    <t>Grant and/or Debt funding? Provide further details on any debt funding</t>
  </si>
  <si>
    <t xml:space="preserve">Readiness: Immediate/ 2-3y/ 3y+ </t>
  </si>
  <si>
    <t>Electrical supply upgrade</t>
  </si>
  <si>
    <t>Increase electrical capacity all 102 buildings</t>
  </si>
  <si>
    <t>Provides essential infrastructure for CNZ</t>
  </si>
  <si>
    <t>FP1568 carbon net Zero</t>
  </si>
  <si>
    <t>Immediate</t>
  </si>
  <si>
    <t>This is required at 99% of stations to be able to progress CNZ plans as the gas replacement plan focuses on electric alternatives</t>
  </si>
  <si>
    <t>Removing gas dependency</t>
  </si>
  <si>
    <t>Replace Gas powered boilers 
at 103 fire stations</t>
  </si>
  <si>
    <t>Reduction</t>
  </si>
  <si>
    <t>FP1568 c
arbon net Zero</t>
  </si>
  <si>
    <t>Replace gas powered appliance 
bay heaters at 102 stations</t>
  </si>
  <si>
    <t>FP1568 carbon 
net Zero</t>
  </si>
  <si>
    <t>Renewable generation</t>
  </si>
  <si>
    <t>Increase the solar PPV arrays</t>
  </si>
  <si>
    <t>FP1568 figures need checking</t>
  </si>
  <si>
    <t>Remove gas dependency</t>
  </si>
  <si>
    <t>FP1568 carbon Net Zero</t>
  </si>
  <si>
    <t>Energy reduction</t>
  </si>
  <si>
    <t>Environmental system re-design
169 Union Street</t>
  </si>
  <si>
    <t>Salix funding match 5 buildings</t>
  </si>
  <si>
    <t>Retrofit of 5 stations</t>
  </si>
  <si>
    <t>Salix combined with LFC</t>
  </si>
  <si>
    <t>Smart Energy Use</t>
  </si>
  <si>
    <t>Telematics fitted to vehicles</t>
  </si>
  <si>
    <t>Smart information</t>
  </si>
  <si>
    <t>LFB FLEET</t>
  </si>
  <si>
    <t>Information gathering</t>
  </si>
  <si>
    <t>Asset Replacement Programme</t>
  </si>
  <si>
    <t>Replacement of OSUs</t>
  </si>
  <si>
    <t xml:space="preserve">OSU project is subject to approval based on operational demand and the potential to consider alternative operations and EV solutions. The uplift was not originally included in the LFB CNZ strategy. </t>
  </si>
  <si>
    <t>EV Asset Replacement Programme</t>
  </si>
  <si>
    <t>Replacement of the hybrid SOG cars</t>
  </si>
  <si>
    <t>Replacement of the 6 hybrid commissioner cars</t>
  </si>
  <si>
    <t xml:space="preserve">Replacement of 11 vans </t>
  </si>
  <si>
    <t>Charging Infrastructure</t>
  </si>
  <si>
    <t>Install of chargepoints</t>
  </si>
  <si>
    <t xml:space="preserve">Charging </t>
  </si>
  <si>
    <t>Charging</t>
  </si>
  <si>
    <t>Replacement of 29 vans</t>
  </si>
  <si>
    <t>Replacement of 5 x Hose Layer Units</t>
  </si>
  <si>
    <t xml:space="preserve">Replacement of 1 Cold Cut Vehicle </t>
  </si>
  <si>
    <t>2026</t>
  </si>
  <si>
    <t>EV Asset Prototypes</t>
  </si>
  <si>
    <t xml:space="preserve">Purchase of 5 x ZEPA2 vehicles </t>
  </si>
  <si>
    <t>Determination of heavy vehicle and high power solutions</t>
  </si>
  <si>
    <t>Replacement of 18 vans</t>
  </si>
  <si>
    <t>2027</t>
  </si>
  <si>
    <t>Replacement of 50 electric pool cars</t>
  </si>
  <si>
    <t>Replacement of the SOG cars</t>
  </si>
  <si>
    <t>Replacement of 53 Dual Pump Ladders (DPL) - Year 1</t>
  </si>
  <si>
    <t>2029</t>
  </si>
  <si>
    <t>Replacement of 41 DPLs - Year 2</t>
  </si>
  <si>
    <t>2030</t>
  </si>
  <si>
    <t xml:space="preserve">Replacement of the Commissioner Cars </t>
  </si>
  <si>
    <t>Replacement of 52 DPLs - Year 3</t>
  </si>
  <si>
    <t>2031</t>
  </si>
  <si>
    <t>Replacement of 42 DPLs - Year 4</t>
  </si>
  <si>
    <t>2032</t>
  </si>
  <si>
    <t>Replacement of 1 All Wheel Drive (AWD)</t>
  </si>
  <si>
    <t>Replacement of 1 Detect, Identify and Monitor vehicle</t>
  </si>
  <si>
    <t>Replacement of 18 Fire Rescue Units (FRU)</t>
  </si>
  <si>
    <t>2033</t>
  </si>
  <si>
    <t>Replacement of 1 Cold Cut vehicle</t>
  </si>
  <si>
    <t>Replacement of 9 Command Support Units (CSU)</t>
  </si>
  <si>
    <t>Replacement of 3 Operational Support Units (OSU)</t>
  </si>
  <si>
    <t>2034</t>
  </si>
  <si>
    <t xml:space="preserve">Replacement of 5 Heavy Distribution Units (HDU) </t>
  </si>
  <si>
    <t>Replacement of 12 32m Turntable Ladders (TL)</t>
  </si>
  <si>
    <t>2035</t>
  </si>
  <si>
    <t>Replacement of 3 64m TLs</t>
  </si>
  <si>
    <t>LFC-B.1</t>
  </si>
  <si>
    <t>LFC-B.2</t>
  </si>
  <si>
    <t>LFC-B.3</t>
  </si>
  <si>
    <t>LFC-B.4</t>
  </si>
  <si>
    <t>LFC-B.5</t>
  </si>
  <si>
    <t>LFC-B.6</t>
  </si>
  <si>
    <t>LFC-B.7</t>
  </si>
  <si>
    <t>LFC-B.8</t>
  </si>
  <si>
    <t>LFC-B.9</t>
  </si>
  <si>
    <t>LFC-B.10</t>
  </si>
  <si>
    <t>LFC-B.11</t>
  </si>
  <si>
    <t>LFC-B.12</t>
  </si>
  <si>
    <t>LFC-B.13</t>
  </si>
  <si>
    <t>LFC-B.14</t>
  </si>
  <si>
    <t>LFC-B.15</t>
  </si>
  <si>
    <t>LFC-B.16</t>
  </si>
  <si>
    <t>LFC-B.17</t>
  </si>
  <si>
    <t>LFC-B.18</t>
  </si>
  <si>
    <t>LFC-B.19</t>
  </si>
  <si>
    <t>LFC-B.20</t>
  </si>
  <si>
    <t>LFC-B.21</t>
  </si>
  <si>
    <t>LFC-B.22</t>
  </si>
  <si>
    <t>LFC-B.23</t>
  </si>
  <si>
    <t>LFC-B.24</t>
  </si>
  <si>
    <t>LFC-B.25</t>
  </si>
  <si>
    <t>LFC-B.26</t>
  </si>
  <si>
    <t>LFC-B.27</t>
  </si>
  <si>
    <t>LFC-B.28</t>
  </si>
  <si>
    <t>LFC-B.29</t>
  </si>
  <si>
    <t>LFC-B.30</t>
  </si>
  <si>
    <t>LFC-B.31</t>
  </si>
  <si>
    <t>LFC-B.32</t>
  </si>
  <si>
    <t>LFC-B.33</t>
  </si>
  <si>
    <t>LFC-B.34</t>
  </si>
  <si>
    <t>LFC-B.35</t>
  </si>
  <si>
    <t>LFC-B.36</t>
  </si>
  <si>
    <t>LFC-B.37</t>
  </si>
  <si>
    <t>LFC-B.38</t>
  </si>
  <si>
    <t>LFC-B.39</t>
  </si>
  <si>
    <t>LFC-B.40</t>
  </si>
  <si>
    <t>LFC-B.41</t>
  </si>
  <si>
    <t>LFC-B.42</t>
  </si>
  <si>
    <t>LFC-B.43</t>
  </si>
  <si>
    <t>LFC-B.44</t>
  </si>
  <si>
    <t>LFC-B.45</t>
  </si>
  <si>
    <t>LFC-B.46</t>
  </si>
  <si>
    <t>LFC-B.47</t>
  </si>
  <si>
    <t>LFC-B.48</t>
  </si>
  <si>
    <t>Management</t>
  </si>
  <si>
    <t>Programme Management of Net Zero Programme</t>
  </si>
  <si>
    <t>Property Services</t>
  </si>
  <si>
    <t>Electricity</t>
  </si>
  <si>
    <t>PPA zero carbon electricity implementation stage</t>
  </si>
  <si>
    <t>Progression with the GLA / TfL in PPA collaborative procurement exercise to source PPA, for zero carbon electricity on up to 80% of electricity requirements, prior to 2030.</t>
  </si>
  <si>
    <t>Commercial</t>
  </si>
  <si>
    <t>unknown</t>
  </si>
  <si>
    <t>Unidentified - revenue - to be confirmed, although PPA will only be progressed if value for money is determined.</t>
  </si>
  <si>
    <t>2-3y</t>
  </si>
  <si>
    <t>PSDS Phase IIIb (23-24 delivery); asset replacements, building fabric and heat decarbonisation</t>
  </si>
  <si>
    <t xml:space="preserve">Heat decarbonisation and energy efficiencies measures covered by PSDS grant funding (£325 per carbon tonne) </t>
  </si>
  <si>
    <t>PSDS grant funding</t>
  </si>
  <si>
    <t>Real Estate Development</t>
  </si>
  <si>
    <t>PSDS grant funding, applied for.</t>
  </si>
  <si>
    <t>PSDS Applicatiopn made Oct 2022. Grant award notification expected Dec 2022</t>
  </si>
  <si>
    <t>PSDS Phase IIIc (24-25 delivery); asset replacements, building fabric and heat decarbonisation</t>
  </si>
  <si>
    <t>PSDS grant funding, planned application.</t>
  </si>
  <si>
    <t>Delivery of remaining identified asset replacements, building fabric and heat decarbonisation</t>
  </si>
  <si>
    <t>This programme covers all NZC Impact Assessment heat decarbonisation requirements, such as insulltation, solar PV, and heat pumps / electrified assets, as appropriate for each site.</t>
  </si>
  <si>
    <t>3y+</t>
  </si>
  <si>
    <t>Electric Incident Response Vehicle (IRV) trial; fleet - enabling Project</t>
  </si>
  <si>
    <t>Evaluate Incident Response Vehicle (IRV) BEV changing and vehicle performance, payload and the impact of police duty cycle on battery range and charging cycles.</t>
  </si>
  <si>
    <t>Met Fleet MO11</t>
  </si>
  <si>
    <t>Detailed feasibility project is underway to understand the real-world limitations  of EV in MET operational environment .</t>
  </si>
  <si>
    <t>Acceleration of fleet vehicle replacement programme with ealier adoption of Battery Electric Vehicles.</t>
  </si>
  <si>
    <t>Reduce MPS Fleet carbon emissions through the use of zero emission vehicles displacing ICE vehicles which will be delivered as part of the MPS Replacement Programme. This line includes ICE, Hybrid and BEVs.</t>
  </si>
  <si>
    <t>Air quality</t>
  </si>
  <si>
    <t>projected uplift in Capital requirements if accelerated decarbonisation programme based on Accenture analysis. This line also includes the revenue benefits from switching from fuel to OFFsite EV charging.</t>
  </si>
  <si>
    <t>Installation of Estates EV charging infrastructure.</t>
  </si>
  <si>
    <t xml:space="preserve">This unfunded EV Charging infrastructure element provides the carbon reduction for the planned (funded) EV Fleet, and any unfunded acceleration to this Fleet. Noting that Salix PSDS funding does not include for any vehicle charging. </t>
  </si>
  <si>
    <t>Resilience</t>
  </si>
  <si>
    <t>Provision of resiliant infrastructure - Fleet and Estates</t>
  </si>
  <si>
    <t>MOPAC-M.1</t>
  </si>
  <si>
    <t>MOPAC-C.1</t>
  </si>
  <si>
    <t>MOPAC-P.6</t>
  </si>
  <si>
    <t>MOPAC-F.4</t>
  </si>
  <si>
    <t>MOPAC-F.5</t>
  </si>
  <si>
    <t>MOPAC-F.6</t>
  </si>
  <si>
    <t>MOPAC-P.7</t>
  </si>
  <si>
    <t>Energy Efficient Lighting</t>
  </si>
  <si>
    <t>London Aquatic Centre Interior lighting replacement. Main (competition) pool</t>
  </si>
  <si>
    <t>Energy Saving 
• in MWh = 27/yr /GWh (electricity)</t>
  </si>
  <si>
    <t>Replacement of existing metal halide flood lights with LED floodlights and new controls. lighting manufacturers initial scope review prior to Atkins energy savings and costs feasibity study complete. Approximately 300 luminers to be replaced.</t>
  </si>
  <si>
    <t>District Energy Network decarbonisation</t>
  </si>
  <si>
    <t>Likely to include a range of different technologies. Early interventions are very likely to be focussed around heat pumps, including Water Sourced Heat Pumps &amp; other industrial heat recovery systems being considered. Deep closed loop geophermal also being considered.</t>
  </si>
  <si>
    <t xml:space="preserve">Red </t>
  </si>
  <si>
    <t>This project fall into "level 2" scope of reporting.</t>
  </si>
  <si>
    <t>Depends on the type of investment, if no details are available industry benchmark to be used.</t>
  </si>
  <si>
    <t>London Stadium Solar PV Installation</t>
  </si>
  <si>
    <t xml:space="preserve">Applying a solar PV membrane to the roof of the stadium. 
</t>
  </si>
  <si>
    <t>Education and behaviour change opportunity amongst employees and operations team.
Annual renewable energy procured in offices
• in MWh/GWh (electricity)
• GJ/TJ (other energy)</t>
  </si>
  <si>
    <t>London Stadium</t>
  </si>
  <si>
    <t>Amber mid - 2023</t>
  </si>
  <si>
    <t xml:space="preserve">Buildings </t>
  </si>
  <si>
    <t>Energy efficient refrigeration systems</t>
  </si>
  <si>
    <t>Replacement of the London Aquatics Centre ammonia chillers with packaged chiller (cooling generation and heat pump to recover exhaust heat) &amp; upgrade of the CRAC chillers to lower Global Warning Potential (GWP) refigerant.</t>
  </si>
  <si>
    <t>Atkins appointed to carry out a feasibility study and advise on energy savings and costs. 
Investment for the feasibility survey is secured via existing budget lines. 
Investment required for the actual works is partially secured via existing budget lines.</t>
  </si>
  <si>
    <t>Energy efficient lighting.</t>
  </si>
  <si>
    <t xml:space="preserve">Copper Box Arena Broadcast Lighting Replacement </t>
  </si>
  <si>
    <t xml:space="preserve">Energy Saving 
• in MWh = 50/yr /GWh (electricity) - </t>
  </si>
  <si>
    <t xml:space="preserve">Details on the calculation of carbon saving  - see note at H1. </t>
  </si>
  <si>
    <t>Further details required on the cost calcualtions for this project, as there is a discrepency between the annual and lifetime savings attributed to the luminaires. Estimated 28% ROI over the lifetime of the luminair's (9yrs +)</t>
  </si>
  <si>
    <t>London Stadium lawn maintenance equipment emissions reduction</t>
  </si>
  <si>
    <t>London Stadium replacement of petrol/ diesel lawn maintenance equipment with electric powered lawn mainteance equipment</t>
  </si>
  <si>
    <t>Reduction in noise and local air pollution. Improved working conditions for staff.</t>
  </si>
  <si>
    <t>Details on the calculation of carbon saving. See note at H1. Number of equipment replaced?  Three previously replaced. Two remaining to be replaced.</t>
  </si>
  <si>
    <t>Buildings &amp; Public Realm</t>
  </si>
  <si>
    <t>London Stadium Solar PV installation</t>
  </si>
  <si>
    <t>Ticket Office &amp; Shop</t>
  </si>
  <si>
    <t>Renewable Energy
Annual renewable energy 
• in MWh = 92/yr /GWh (electricity)
• GJ/TJ (other energy)</t>
  </si>
  <si>
    <t>How carbon reduction is calculated? See H1. Number of solar PV? TBC Stakeholder permissions required prior to final approval.</t>
  </si>
  <si>
    <t xml:space="preserve">London Stadium LED lighting installation </t>
  </si>
  <si>
    <t xml:space="preserve">Replacing back of house lights in stadium with LED </t>
  </si>
  <si>
    <t>Educational opportunities for staff, visitors and green skills  development opportunities
Energy Saving - awaiting further data</t>
  </si>
  <si>
    <t>Investment for the feasibility survey is secured via existing budget lines.</t>
  </si>
  <si>
    <t>London Stadium update to Building Energy Management System</t>
  </si>
  <si>
    <t>Technical equipment and behaviour change initiative to improve energy use at London Stadium</t>
  </si>
  <si>
    <t>Education and behaviour change opportunity amongst employees and operations team.</t>
  </si>
  <si>
    <t>London Stadium vehicle emission reduction</t>
  </si>
  <si>
    <t xml:space="preserve">London Stadium replacement of diesel/petrol vehicles with electric vehicles. </t>
  </si>
  <si>
    <t>Clean Transportation
Final and/or Primary Energy Use
• kWh/m² of GBA p.a.;
• % of energy use reduced/avoided vs local baseline/building code;
•  % of renewable energy (RE) generated on site - awaiting further details</t>
  </si>
  <si>
    <t>Number of vehicles considered? TBC Further details required regarding availability of electric vehicles considering a potential 18-month lead time fr new electric vehicles</t>
  </si>
  <si>
    <t>Buildings, Public Realm &amp; Infrastructure</t>
  </si>
  <si>
    <t xml:space="preserve">Climate Action </t>
  </si>
  <si>
    <t>Climate Emergency Response Officer.
The officer will support development and delivery of identified zero carbon projects through data management, reporting, liaise with stakeholders, and support the carbon monitoring and analysis of proposed and implemented projects.</t>
  </si>
  <si>
    <t>Renewable Energy</t>
  </si>
  <si>
    <t>Purcase of renewable energy through a power purchase agremment.</t>
  </si>
  <si>
    <t>Park Operations &amp; Venues and Development</t>
  </si>
  <si>
    <t>Process of aggreeing PPA in collaboration with GLA FB's  under way. Awaiting further information and next steps.</t>
  </si>
  <si>
    <t>LLDC-B.1</t>
  </si>
  <si>
    <t>LLDC-B.2</t>
  </si>
  <si>
    <t>LLDC-B.3</t>
  </si>
  <si>
    <t>LLDC-B.4</t>
  </si>
  <si>
    <t>LLDC-B.5</t>
  </si>
  <si>
    <t>LLDC-B.6</t>
  </si>
  <si>
    <t>LLDC-B.7</t>
  </si>
  <si>
    <t>LLDC-B.8</t>
  </si>
  <si>
    <t>LLDC-B.9</t>
  </si>
  <si>
    <t>LLDC-B.10</t>
  </si>
  <si>
    <t>LLDC-B.11</t>
  </si>
  <si>
    <t>LLDC-B.12</t>
  </si>
  <si>
    <t>Net Zero energy production</t>
  </si>
  <si>
    <t>The project objective is to recycle waste heat from data centres to provide zero carbon, affordable and resilient heating, hot water and cooling to residents (up to 12,00 homes) and businesses in a cost-effective way following approval of a Strategic Outline Case which tested the cost and benefit of a heat network vs BAU (ie leaving developers to deliver zero carbon)</t>
  </si>
  <si>
    <t>2025</t>
  </si>
  <si>
    <t>Reduced local heating, increased resilience, affordability for households</t>
  </si>
  <si>
    <t>Immediate - 2023 (subject to the outcome of the OBC and GHNF funding application)</t>
  </si>
  <si>
    <t>OPDC has engaged with the GLA Environment team, GLA Group Finance and London Treasury Limited in developing the proposals, as well as updating the Mayor's Chief of Staff and key stakeholders at regular GLA/OPDC liaison meetings. The application for GHNF funding in Feb 2023 is subject to the outcome of the Outline Business Case.</t>
  </si>
  <si>
    <t>Old Oak West Access and Active Travel Strategy</t>
  </si>
  <si>
    <t>The design and implementation of new local infrastructure and public realm to support access, walking and cycling.</t>
  </si>
  <si>
    <t>Improved health and wellbeing
Supports housing delivery and employment investment</t>
  </si>
  <si>
    <t>OPDC Development</t>
  </si>
  <si>
    <t>OBC in production for anticipated government decision in Summer 2023</t>
  </si>
  <si>
    <t>Willesden Junction Station Improvements</t>
  </si>
  <si>
    <t>Improvements to capacity, access and integration with development at Old Oak</t>
  </si>
  <si>
    <t>Access to public transport
Air quality
Reduced congestion and improved environment</t>
  </si>
  <si>
    <t>Improvements to North Acton Station</t>
  </si>
  <si>
    <t>Delivery of step-free access and enhanced capacity</t>
  </si>
  <si>
    <t>Biodiversity</t>
  </si>
  <si>
    <t>Creation of a new 2ha public park in Old Oak</t>
  </si>
  <si>
    <t>Development of a new 2ha park in Old Oak including integration with potential access and biodiversity improvements to the Grand Union Canal.</t>
  </si>
  <si>
    <t>Biodiversity
Reduction in local heating
Health and wellbeing
Active transit</t>
  </si>
  <si>
    <t>OPDC-B.1</t>
  </si>
  <si>
    <t>OPDC-B.2</t>
  </si>
  <si>
    <t>OPDC-B.3</t>
  </si>
  <si>
    <t>OPDC-B.4</t>
  </si>
  <si>
    <t>OPDC-B.5</t>
  </si>
  <si>
    <t>Zero emission fleet 2030</t>
  </si>
  <si>
    <t>Bus Operations</t>
  </si>
  <si>
    <t>Removal of gas and energy efficiency - Tranche 2</t>
  </si>
  <si>
    <t>Depots</t>
  </si>
  <si>
    <t xml:space="preserve">Staff comfort, ambience, air quality. </t>
  </si>
  <si>
    <t xml:space="preserve">IDP, TfL Operations, TfL Capital </t>
  </si>
  <si>
    <t>Initial high level estimate</t>
  </si>
  <si>
    <t>Stations</t>
  </si>
  <si>
    <t>Office</t>
  </si>
  <si>
    <t>Out of station retail</t>
  </si>
  <si>
    <t>Arches</t>
  </si>
  <si>
    <t>Other (e.g. accommodation, bus / coach station, signals/control
centre, pier, tunnel building)</t>
  </si>
  <si>
    <t>Removal of gas and energy efficiency - Tranche 3</t>
  </si>
  <si>
    <t>Installing solar on TfL buildings where technically feasible.</t>
  </si>
  <si>
    <t>Directly connected renewables</t>
  </si>
  <si>
    <t>IDP</t>
  </si>
  <si>
    <t xml:space="preserve">Rollout of feasible rooftop solar (3MWp total). </t>
  </si>
  <si>
    <t>Traction</t>
  </si>
  <si>
    <t>Traction efficency</t>
  </si>
  <si>
    <t>regenerative braking (NL &amp; CL), green CBTC, energy storage (Inverters)</t>
  </si>
  <si>
    <t>Reliability of power supply</t>
  </si>
  <si>
    <t>TfL Operations, TfL Capital</t>
  </si>
  <si>
    <t xml:space="preserve">Carbon savings are as a result of improving the efficiency of the power systems used to drive trains on the TfL network - Scope 2 emissions. These savings are generaly made by a combination of: reducing the energy consumed to move trains around the network, recouping energy that would be currently lost as heat through braking, flattening our usage peaks through energy storage. There is also a secondary thread in this workstream around boosting our  (and by proxy, the wider UK's) resilience to the energy crisis. Progressive increase in costing assumes maturity of our reasearch leading to small discrete opporunities across the duration of this budget period. Figures added are estimates based on experience &amp; previous works completed. </t>
  </si>
  <si>
    <t>Switching all 20 HGVs in TfL's support fleet to zero emission</t>
  </si>
  <si>
    <t>TfL Operations, IDP</t>
  </si>
  <si>
    <t>Initial high level estimate for vehicle and infrastructure cost. Assumed this would progress later in the decade as market for HGVs is immature.</t>
  </si>
  <si>
    <t>Street Lighting </t>
  </si>
  <si>
    <t>Potential for reduced maintenance</t>
  </si>
  <si>
    <t>TfL Operations- NMR, IDP</t>
  </si>
  <si>
    <t>Initial high-level estimate. Further development required to identify carbon and cost savings</t>
  </si>
  <si>
    <t>Traffic signals </t>
  </si>
  <si>
    <t>Switching entire Dial-a-Ride fleet to zero emission by 2030</t>
  </si>
  <si>
    <t>Air quality, lower noise in residential areas, reduced fleet maintainence costs</t>
  </si>
  <si>
    <t>Costs based on project undertaken in 2019/2020, and thus should be considered approximations</t>
  </si>
  <si>
    <t>TfL-B.1</t>
  </si>
  <si>
    <t>TfL-B.2</t>
  </si>
  <si>
    <t>TfL-B.3</t>
  </si>
  <si>
    <t>TfL-B.4</t>
  </si>
  <si>
    <t>TfL-B.5</t>
  </si>
  <si>
    <t>TfL-B.6</t>
  </si>
  <si>
    <t>TfL-B.7</t>
  </si>
  <si>
    <t>TfL-B.8</t>
  </si>
  <si>
    <t>TfL-B.9</t>
  </si>
  <si>
    <t>TfL-B.10</t>
  </si>
  <si>
    <t>TfL-B.11</t>
  </si>
  <si>
    <t>TfL-B.12</t>
  </si>
  <si>
    <t>TfL-B.13</t>
  </si>
  <si>
    <t>TfL-B.14</t>
  </si>
  <si>
    <t>TfL-B.15</t>
  </si>
  <si>
    <t>TfL-B.16</t>
  </si>
  <si>
    <t>TfL-B.17</t>
  </si>
  <si>
    <t>TfL-B.18</t>
  </si>
  <si>
    <t>TfL-B.19</t>
  </si>
  <si>
    <t>Crystal Palace Review</t>
  </si>
  <si>
    <t>Decarbonisation and GHG emmission reduction feasibility review. Assessment of forthcoming wider works design and programme are initially required to then understand what improvements could be made to the scheme.</t>
  </si>
  <si>
    <t>Unknown</t>
  </si>
  <si>
    <t>GLA Estates Team</t>
  </si>
  <si>
    <t>2-3 years</t>
  </si>
  <si>
    <t>GLA-B.1</t>
  </si>
  <si>
    <t>Optimising Energy Management</t>
  </si>
  <si>
    <t>Review energy usage data quarterly and compare year end 2024 data against 21/22 annual base line figure. Subsequent applicable optimisation work will be implemented</t>
  </si>
  <si>
    <t>10%</t>
  </si>
  <si>
    <t>1. Ability to review and report performance against baseline
2. Adjust approach if required
3. Increased accuracy in financial budgeting
4. Remove redundant supplies
5. Rectify energy management errors and equipment faults</t>
  </si>
  <si>
    <t>Policy</t>
  </si>
  <si>
    <t>Work with internal stakeholders and external consultants to create a Sustainability Policy for assets held in GLA Land and Property Ltd</t>
  </si>
  <si>
    <t>1. Ensure statutory compliance
2. Ensure GLAP alignment with Mayoral Policy
3. Ensure an approach to Net Zero that balances financial and policy aims
4. Ensure focus remains on areas of largest impact</t>
  </si>
  <si>
    <t>A budget would be required for staffing time and any external consultant support needed to implement this project</t>
  </si>
  <si>
    <t>Replace end of life gas heating with low carbon alternatives</t>
  </si>
  <si>
    <t>10% (TBC)</t>
  </si>
  <si>
    <t>1. Direct local reduction in GHG emissions
2. Improved local air quality
3. Sustains and grows London's green economy by encouraging jobs and skills in clean technology</t>
  </si>
  <si>
    <t>Policy Changes</t>
  </si>
  <si>
    <t>Work with development colleagues and solicitors to ensure all new leases include "green" clauses</t>
  </si>
  <si>
    <t>1.  Implement Mayoral Policy 
2. Reduce GHG emissions
2. Ensure buildings are operated optimally
3. Improve perception of GLAP operated assets
4. Attract environmentally aware tenants
5. Enable monitoring of data to ensure progress to meeting targets</t>
  </si>
  <si>
    <t>https://www.betterbuildingspartnership.co.uk/sites/default/files/media/attachment/bbp-gltk-2013_0.pdf</t>
  </si>
  <si>
    <t>Options for Green Lease clauses to be considered -
Co-operation obligation
Environmental Management Plan
Data sharing and metering
Restrictions on tenant alterations. A budget would be required for staffing time and any external consultant support needed to implement this project</t>
  </si>
  <si>
    <t>1-2 years</t>
  </si>
  <si>
    <t xml:space="preserve">GLAP-B.1 </t>
  </si>
  <si>
    <t>GLAP-B.2</t>
  </si>
  <si>
    <t>GLAP-B.3</t>
  </si>
  <si>
    <t>GLAP-B.4</t>
  </si>
  <si>
    <t>GLAP-B.5</t>
  </si>
  <si>
    <t>GLAP-B.6</t>
  </si>
  <si>
    <t>GLAP-B.7</t>
  </si>
  <si>
    <t>Total Proposed Expenditure £'000</t>
  </si>
  <si>
    <t>Lifetime cumulative CO2e savings, tonnes or Enabling Measure</t>
  </si>
  <si>
    <t>2022-2023</t>
  </si>
  <si>
    <t>2024-2025</t>
  </si>
  <si>
    <t>2027-2028</t>
  </si>
  <si>
    <t>2021-2022</t>
  </si>
  <si>
    <t>KPI 2023-2024</t>
  </si>
  <si>
    <t>2026-2027</t>
  </si>
  <si>
    <t>Facilitate emissions reductions in other areas</t>
  </si>
  <si>
    <t>The capital costs and benefits here are for our LED Lighting changes from 2012/22 to 2025-2026. Note however that the benefits herein are only recorded for non-defined projects</t>
  </si>
  <si>
    <t>Borrowing and receipts</t>
  </si>
  <si>
    <t>Traffic light progress</t>
  </si>
  <si>
    <t>Total Exp. 23-24 £'000</t>
  </si>
  <si>
    <t>Total Exp. 24-25 £'000</t>
  </si>
  <si>
    <t>Total Exp. 25-26 £'000</t>
  </si>
  <si>
    <t xml:space="preserve"> N/A </t>
  </si>
  <si>
    <t xml:space="preserve"> Carbon reduction </t>
  </si>
  <si>
    <t>Opex savings from less electricity demand due to running building more efficiently</t>
  </si>
  <si>
    <t>Opex savings from less electricity demand for lighting</t>
  </si>
  <si>
    <t>Opex savings from less electricity demand due to running pumps more efficiently</t>
  </si>
  <si>
    <t>Opex savings from less electricity demand due to avoided air conditioning in summer months</t>
  </si>
  <si>
    <t xml:space="preserve">28
</t>
  </si>
  <si>
    <t xml:space="preserve">76
</t>
  </si>
  <si>
    <t>2028-2029</t>
  </si>
  <si>
    <t>2029-2030</t>
  </si>
  <si>
    <t>2030-2031</t>
  </si>
  <si>
    <t>2031-2032</t>
  </si>
  <si>
    <t>2032-2033</t>
  </si>
  <si>
    <t>2033-2034</t>
  </si>
  <si>
    <t>2034-2035</t>
  </si>
  <si>
    <t>2035-2036</t>
  </si>
  <si>
    <t>2037-2038</t>
  </si>
  <si>
    <t>2038-2039</t>
  </si>
  <si>
    <t>The forthcoming site works programme remains in development and is yet to be finalised. Once progressed, the programme and design will be assessed with the expectation to subsequently examine appropriate options.  If 2023-2024 assessment is positive and budget allows, then the work will commence to implement feasibility study recommendations.</t>
  </si>
  <si>
    <t xml:space="preserve">If 2023-2024 assessment is positive and budget allows, then the work will commence to implement feasibility study recommendations. </t>
  </si>
  <si>
    <t xml:space="preserve"> No budget in 2023-2024 has been identified yet as this depends on the findings of teh study. No cost savings for GLAP as they are not the entity paying for the utility usage. The properties are occupied by residential tenants and therefore the responsbility of the landlord for this type of investment / improvement. </t>
  </si>
  <si>
    <t>Building has recently been returned to GLAP after being leased to a third party. Assessments are to be undertaken as per A3. undertaken on the building to understand what services could be improved. If 2023-2024 assessment is positive and budget allows, then the work will commence to implement feasibility study recommendations.</t>
  </si>
  <si>
    <t>GLAP are responsible for several kilometers of road in the Dagenham area. The lighting has been identified as old and this is currently being reviewed to ascertain if it can be improved at all and what the cost of replacing the lamps would be. If 2023-2024 assessment is positive and budget allows, then the work will commence to implement feasibility study recommendations.</t>
  </si>
  <si>
    <t>Whilst programmed later (due to boiler age / site availability) the carbon benefits are higher for the PSDS IIIC proposal, than PSDS IIIB, as it happens heat decarbonisation saves more gas. Additionally there are more LED replacements due at PSDS IIIC sites, compared to PSPS IIIB sites. Number includes 25% OB. Projects need to be completed by end of 2024-2025 FY</t>
  </si>
  <si>
    <t>Total Proposed cash savings to end 2030-2031 £'000</t>
  </si>
  <si>
    <t xml:space="preserve">Cost estimates are indicative and would require further review to reflect iterative cost relative to TfL's new Business Plan. Early years would be likely to change - TfL's Business Plan keeps open the possibility of 2030 completion in the early years, but a smoother profile would likely increase costs in these years in order to save more in later years. Note that total cost of this initiative is higher than the cost to 2030-2031, as higher leasing costs would continue through the 2030s. total cost shown is estimated cost to end of 2036/37.
Carbon savings are additional saving as a result of getting to fully zero emission fleet by 2030 instead of 2034.  Assumes the electricity supply for charging the buses is from 100% renewables. </t>
  </si>
  <si>
    <t>Lifetime TBC based on new market engagement with charge providers</t>
  </si>
  <si>
    <t>Programme prior to 2023-2024 was largely Salix LCSF grant funded, plus borrowing and receipts. Funding for for 2023-2024 and beyond is TBC.</t>
  </si>
  <si>
    <t>Amber - Late 2023 TBC</t>
  </si>
  <si>
    <t>Debt (TBC)</t>
  </si>
  <si>
    <t>Energy Saving 
• in MWh/GWh (electricity) - details TBC</t>
  </si>
  <si>
    <t>Feasibility cost circa £60k. Number of cells TBC. Project designed in phases P1 ready in mid 2023.</t>
  </si>
  <si>
    <t>Grant/ debt TBC</t>
  </si>
  <si>
    <t>Energy Saving 
• in MWh/GWh (electricity) - TBC</t>
  </si>
  <si>
    <t>2023-2024 TBC</t>
  </si>
  <si>
    <t>69,150 TBC</t>
  </si>
  <si>
    <t>TBC: Old Oak West funding and delivery strategy</t>
  </si>
  <si>
    <t>Proposed Exp. 23-24 £'000</t>
  </si>
  <si>
    <t>Proposed Exp. 24-25 £'000</t>
  </si>
  <si>
    <t>Proposed Exp. 25-26 £'000</t>
  </si>
  <si>
    <t>Proposed Exp. 2026-27 to 2030-2031 (incl.) £'000</t>
  </si>
  <si>
    <t>£167.5m Capital requirement for EV charging infrastructure requirements on MPS sites. The costs include OB, with the annual cost profile taken directly from NZC Impact Assessment model. Noting that the estimate is based on 100% provision of the charging infrastructure on MPS sites. This will be subject to review when the scale of and accessibility to public charging infrastructure is clearer.  This revenue benefit includes the transition from Fuel to electricity charging (on site), and also includes increased management and maintenance costs of circ. £1m p.a. by 2030-2031 on the onsite charging infrastructure (which increases from 2032-2033, as more chargers are installed).</t>
  </si>
  <si>
    <t>This Capital requirement contains many assumptions on risk, as the 'Resilience Strategy' is in early stages of development.</t>
  </si>
  <si>
    <t>Further information required to quantify the Capital/ revenue mix and how savings are attributed.</t>
  </si>
  <si>
    <t>Unidentified - revenue - to be confirmed</t>
  </si>
  <si>
    <t>Unidentified - grant or debt - to be confirmed</t>
  </si>
  <si>
    <t>The sites will require a deeper survey than presently carried to establish roof and ground space.  This has been costed at £30k</t>
  </si>
  <si>
    <t xml:space="preserve">This piece of work is looking at this infrastucture this financial year with the works being budgeted for next financial year. </t>
  </si>
  <si>
    <t xml:space="preserve">This piece of work is looking at this building holistically. The one major piece that has been identified is switching the gas boiler over to a different type of heating mechanism. The options will be reviewed with the works being budgeted for next financial year. </t>
  </si>
  <si>
    <t>Unidentified - revenue</t>
  </si>
  <si>
    <t>Unidentified - grant or debt</t>
  </si>
  <si>
    <t>Replace gas cooking equipment</t>
  </si>
  <si>
    <t xml:space="preserve">40% electricity set to zero emissions by 2027-2028 and 80% by 2029-2030. The Carbon benefit from PPA are shown as approximate, shown as the likely maximum level of carbon benefit (with all measures funded and a fixed EV charging % on MPS sites). The PPA benefits change if just the currently funded measures are funded, or future changes to electricity demand are made. Changes to electricity demand willlikely come from onsite / offiste EV charging requirements, and Solar PV rollout across the MPS sites. </t>
  </si>
  <si>
    <t>The capital costs, totalling £16.6m, and benefits here are for our LED Lighting changes from 2012/22 to 2025-2026. Note however that the benefits herein are only recorded for non-defined projects. All defined projects (such as P10, P11, and PSDS proposed projects) include their LED benefits in those specific projects.</t>
  </si>
  <si>
    <t>ZEPA 2 is an EV development project to expand EV appliances &amp; de-risk broader rollout - it is not an existing asset replacement. After discussions it was suggested to feature as an expected uplift cost. Therefore, the uplift is £3.5million, which has been removed from the original position as a designated cost.</t>
  </si>
  <si>
    <t>Number includes 40% OB split over 6 years. Note that the £168m identified for the summation of these three 'Construction- Building Emissions' items is an additional funding requirement above the costs already listed as 'funded / allocated' in the table above.</t>
  </si>
  <si>
    <t>TFL</t>
  </si>
  <si>
    <t>Total Exp. 23-24 to 25-26 £'000</t>
  </si>
  <si>
    <t>Total cash savings 23-24 to 25-26 £'000</t>
  </si>
  <si>
    <t>Savings</t>
  </si>
  <si>
    <t>ID - 1</t>
  </si>
  <si>
    <t>ID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</si>
</sst>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7" formatCode="&quot;£&quot;#,##0.00;\-&quot;£&quot;#,##0.00"/>
    <numFmt numFmtId="8" formatCode="&quot;£&quot;#,##0.00;[Red]\-&quot;£&quot;#,##0.00"/>
    <numFmt numFmtId="43" formatCode="_-* #,##0.00_-;\-* #,##0.00_-;_-* &quot;-&quot;??_-;_-@_-"/>
    <numFmt numFmtId="164" formatCode="#,##0.0"/>
    <numFmt numFmtId="165" formatCode="#,##0.00_ ;[Red]\-#,##0.00\ "/>
    <numFmt numFmtId="166" formatCode="0.0"/>
    <numFmt numFmtId="167" formatCode="_-* #,##0.0_-;\-* #,##0.0_-;_-* &quot;-&quot;??_-;_-@_-"/>
    <numFmt numFmtId="168" formatCode="0.000"/>
    <numFmt numFmtId="169" formatCode="_-* #,##0_-;\-* #,##0_-;_-* &quot;-&quot;??_-;_-@_-"/>
    <numFmt numFmtId="170" formatCode="&quot;£&quot;#,##0&quot;m&quot;"/>
    <numFmt numFmtId="171" formatCode="&quot;£&quot;#,##0.0000;[Red]\-&quot;£&quot;#,##0.0000"/>
    <numFmt numFmtId="172" formatCode="#,##0.000000"/>
    <numFmt numFmtId="173" formatCode="&quot;£&quot;#,##0.00000;[Red]\-&quot;£&quot;#,##0.00000"/>
    <numFmt numFmtId="174" formatCode="#,##0.0000"/>
    <numFmt numFmtId="175" formatCode="&quot;£&quot;#,##0.00000000;[Red]\-&quot;£&quot;#,##0.00000000"/>
    <numFmt numFmtId="176" formatCode="&quot;£&quot;#,##0.000;[Red]\-&quot;£&quot;#,##0.000"/>
  </numFmts>
  <fonts count="52">
    <font>
      <sz val="11"/>
      <color rgb="FF00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b/>
      <sz val="10"/>
      <color rgb="FF313231"/>
      <name val="Foundry Form Sans"/>
    </font>
    <font>
      <sz val="10"/>
      <color rgb="FF313231"/>
      <name val="Foundry Form Sans"/>
    </font>
    <font>
      <i/>
      <sz val="10"/>
      <color rgb="FF313231"/>
      <name val="Foundry Form Sans"/>
    </font>
    <font>
      <b/>
      <sz val="11"/>
      <color theme="1"/>
      <name val="Foundry Form Sans"/>
    </font>
    <font>
      <b/>
      <sz val="16"/>
      <color theme="1"/>
      <name val="Calibri"/>
      <family val="2"/>
      <scheme val="minor"/>
    </font>
    <font>
      <sz val="11"/>
      <color rgb="FFFF0000"/>
      <name val="Calibri"/>
      <family val="2"/>
      <scheme val="minor"/>
    </font>
    <font>
      <sz val="10"/>
      <color theme="1"/>
      <name val="Foundry Form Sans"/>
    </font>
    <font>
      <i/>
      <sz val="11"/>
      <color theme="1"/>
      <name val="Calibri"/>
      <family val="2"/>
      <scheme val="minor"/>
    </font>
    <font>
      <b/>
      <i/>
      <sz val="11"/>
      <color theme="1"/>
      <name val="Calibri"/>
      <family val="2"/>
      <scheme val="minor"/>
    </font>
    <font>
      <b/>
      <u/>
      <sz val="11"/>
      <color theme="1"/>
      <name val="Calibri"/>
      <family val="2"/>
      <scheme val="minor"/>
    </font>
    <font>
      <sz val="11"/>
      <color theme="1"/>
      <name val="Arial"/>
      <family val="2"/>
    </font>
    <font>
      <sz val="7"/>
      <color theme="1"/>
      <name val="Times New Roman"/>
      <family val="1"/>
    </font>
    <font>
      <b/>
      <sz val="11"/>
      <color rgb="FF000080"/>
      <name val="Arial"/>
      <family val="2"/>
    </font>
    <font>
      <sz val="11"/>
      <color rgb="FF000000"/>
      <name val="Arial"/>
      <family val="2"/>
    </font>
    <font>
      <b/>
      <i/>
      <sz val="10"/>
      <color rgb="FF313231"/>
      <name val="Foundry Form Sans"/>
    </font>
    <font>
      <i/>
      <sz val="10"/>
      <name val="Foundry Form Sans"/>
    </font>
    <font>
      <b/>
      <i/>
      <sz val="10"/>
      <name val="Foundry Form Sans"/>
    </font>
    <font>
      <sz val="10"/>
      <color theme="1"/>
      <name val="Calibri"/>
      <family val="2"/>
      <scheme val="minor"/>
    </font>
    <font>
      <b/>
      <sz val="11"/>
      <color rgb="FF000080"/>
      <name val="Foundry Form Sans"/>
    </font>
    <font>
      <sz val="12"/>
      <color theme="1"/>
      <name val="Foundry Form Sans"/>
    </font>
    <font>
      <sz val="11"/>
      <color theme="1"/>
      <name val="Foundry Form Sans"/>
    </font>
    <font>
      <b/>
      <sz val="12"/>
      <color rgb="FF000080"/>
      <name val="Foundry Form Sans"/>
    </font>
    <font>
      <b/>
      <sz val="10"/>
      <name val="Arial"/>
      <family val="2"/>
    </font>
    <font>
      <b/>
      <sz val="12"/>
      <color theme="1"/>
      <name val="Foundry Form Sans"/>
    </font>
    <font>
      <u/>
      <sz val="11"/>
      <color theme="1"/>
      <name val="Foundry Form Sans"/>
    </font>
    <font>
      <b/>
      <sz val="18"/>
      <color theme="1"/>
      <name val="Calibri"/>
      <family val="2"/>
      <scheme val="minor"/>
    </font>
    <font>
      <b/>
      <sz val="11"/>
      <name val="Foundry Form Sans"/>
    </font>
    <font>
      <u/>
      <sz val="11"/>
      <color theme="10"/>
      <name val="Calibri"/>
      <family val="2"/>
      <scheme val="minor"/>
    </font>
    <font>
      <sz val="8"/>
      <name val="Arial"/>
      <family val="2"/>
    </font>
    <font>
      <i/>
      <sz val="11"/>
      <color rgb="FF7F7F7F"/>
      <name val="Calibri"/>
      <family val="2"/>
      <scheme val="minor"/>
    </font>
    <font>
      <sz val="11"/>
      <color rgb="FF000000"/>
      <name val="Calibri"/>
      <family val="2"/>
      <scheme val="minor"/>
    </font>
    <font>
      <b/>
      <sz val="15"/>
      <color rgb="FF44546A"/>
      <name val="Calibri"/>
      <family val="2"/>
      <scheme val="minor"/>
    </font>
    <font>
      <b/>
      <sz val="13"/>
      <color rgb="FF44546A"/>
      <name val="Calibri"/>
      <family val="2"/>
      <scheme val="minor"/>
    </font>
    <font>
      <b/>
      <sz val="11"/>
      <color rgb="FF44546A"/>
      <name val="Calibri"/>
      <family val="2"/>
      <scheme val="minor"/>
    </font>
    <font>
      <sz val="18"/>
      <color rgb="FF44546A"/>
      <name val="Cambria"/>
      <family val="2"/>
      <scheme val="major"/>
    </font>
    <font>
      <b/>
      <sz val="11"/>
      <color rgb="FF000000"/>
      <name val="Calibri"/>
      <family val="2"/>
      <scheme val="minor"/>
    </font>
    <font>
      <sz val="11"/>
      <name val="Foundry Form Sans"/>
    </font>
    <font>
      <sz val="11"/>
      <color rgb="FFFF0000"/>
      <name val="Foundry Form Sans"/>
    </font>
    <font>
      <i/>
      <sz val="11"/>
      <name val="Foundry Form Sans"/>
    </font>
    <font>
      <vertAlign val="superscript"/>
      <sz val="11"/>
      <name val="Foundry Form Sans"/>
    </font>
    <font>
      <b/>
      <u/>
      <sz val="11"/>
      <name val="Foundry Form Sans"/>
    </font>
    <font>
      <sz val="10"/>
      <color rgb="FF000000"/>
      <name val="Calibri"/>
      <family val="2"/>
      <scheme val="minor"/>
    </font>
    <font>
      <b/>
      <u/>
      <sz val="10"/>
      <color theme="1"/>
      <name val="Calibri"/>
      <family val="2"/>
      <scheme val="minor"/>
    </font>
    <font>
      <b/>
      <u/>
      <sz val="10"/>
      <color rgb="FF000000"/>
      <name val="Calibri"/>
      <family val="2"/>
      <scheme val="minor"/>
    </font>
    <font>
      <b/>
      <sz val="10"/>
      <color theme="0"/>
      <name val="Calibri"/>
      <family val="2"/>
      <scheme val="minor"/>
    </font>
    <font>
      <sz val="8"/>
      <name val="Calibri"/>
      <family val="2"/>
      <scheme val="minor"/>
    </font>
  </fonts>
  <fills count="1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60"/>
      </patternFill>
    </fill>
    <fill>
      <patternFill patternType="solid">
        <fgColor indexed="49"/>
      </patternFill>
    </fill>
    <fill>
      <patternFill patternType="solid">
        <fgColor indexed="43"/>
        <bgColor indexed="64"/>
      </patternFill>
    </fill>
    <fill>
      <patternFill patternType="solid">
        <fgColor rgb="FFFFFFCC"/>
      </patternFill>
    </fill>
    <fill>
      <patternFill patternType="solid">
        <fgColor theme="1"/>
        <bgColor indexed="64"/>
      </patternFill>
    </fill>
    <fill>
      <patternFill patternType="solid">
        <fgColor theme="0" tint="-0.14999847407452621"/>
        <bgColor theme="0" tint="-0.14999847407452621"/>
      </patternFill>
    </fill>
    <fill>
      <patternFill patternType="solid">
        <fgColor theme="1"/>
        <bgColor theme="1"/>
      </patternFill>
    </fill>
  </fills>
  <borders count="89">
    <border>
      <left/>
      <right/>
      <top/>
      <bottom/>
      <diagonal/>
    </border>
    <border>
      <left style="medium">
        <color rgb="FFFFFFFF"/>
      </left>
      <right/>
      <top style="medium">
        <color rgb="FFA5A6A5"/>
      </top>
      <bottom style="medium">
        <color rgb="FFA5A6A5"/>
      </bottom>
      <diagonal/>
    </border>
    <border>
      <left style="medium">
        <color rgb="FFFFFFFF"/>
      </left>
      <right/>
      <top style="medium">
        <color rgb="FFA5A6A5"/>
      </top>
      <bottom/>
      <diagonal/>
    </border>
    <border>
      <left style="medium">
        <color rgb="FFFFFFFF"/>
      </left>
      <right/>
      <top/>
      <bottom/>
      <diagonal/>
    </border>
    <border>
      <left style="medium">
        <color rgb="FFFFFFFF"/>
      </left>
      <right/>
      <top/>
      <bottom style="medium">
        <color rgb="FFA5A6A5"/>
      </bottom>
      <diagonal/>
    </border>
    <border>
      <left/>
      <right/>
      <top style="medium">
        <color rgb="FFA5A6A5"/>
      </top>
      <bottom/>
      <diagonal/>
    </border>
    <border>
      <left/>
      <right style="medium">
        <color rgb="FFFFFFFF"/>
      </right>
      <top style="medium">
        <color rgb="FFA5A6A5"/>
      </top>
      <bottom/>
      <diagonal/>
    </border>
    <border>
      <left/>
      <right style="medium">
        <color rgb="FFFFFFFF"/>
      </right>
      <top/>
      <bottom/>
      <diagonal/>
    </border>
    <border>
      <left/>
      <right/>
      <top/>
      <bottom style="medium">
        <color rgb="FFA5A6A5"/>
      </bottom>
      <diagonal/>
    </border>
    <border>
      <left/>
      <right style="medium">
        <color rgb="FFFFFFFF"/>
      </right>
      <top/>
      <bottom style="medium">
        <color rgb="FFA5A6A5"/>
      </bottom>
      <diagonal/>
    </border>
    <border>
      <left/>
      <right/>
      <top style="medium">
        <color rgb="FFA5A6A5"/>
      </top>
      <bottom style="medium">
        <color rgb="FFA5A6A5"/>
      </bottom>
      <diagonal/>
    </border>
    <border>
      <left/>
      <right style="medium">
        <color rgb="FFD9D9D9"/>
      </right>
      <top style="medium">
        <color rgb="FFA5A6A5"/>
      </top>
      <bottom/>
      <diagonal/>
    </border>
    <border>
      <left/>
      <right style="medium">
        <color rgb="FFD9D9D9"/>
      </right>
      <top/>
      <bottom/>
      <diagonal/>
    </border>
    <border>
      <left/>
      <right style="medium">
        <color rgb="FFD9D9D9"/>
      </right>
      <top style="medium">
        <color rgb="FFA5A6A5"/>
      </top>
      <bottom style="medium">
        <color rgb="FFA5A6A5"/>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bottom style="medium">
        <color rgb="FFD9D9D9"/>
      </bottom>
      <diagonal/>
    </border>
    <border>
      <left style="medium">
        <color rgb="FFFFFFFF"/>
      </left>
      <right/>
      <top/>
      <bottom style="medium">
        <color rgb="FF919291"/>
      </bottom>
      <diagonal/>
    </border>
    <border>
      <left/>
      <right/>
      <top/>
      <bottom style="medium">
        <color rgb="FF919291"/>
      </bottom>
      <diagonal/>
    </border>
    <border>
      <left style="medium">
        <color rgb="FFFFFFFF"/>
      </left>
      <right/>
      <top style="medium">
        <color rgb="FFA6A5A6"/>
      </top>
      <bottom/>
      <diagonal/>
    </border>
    <border>
      <left style="medium">
        <color rgb="FFFFFFFF"/>
      </left>
      <right/>
      <top/>
      <bottom style="medium">
        <color rgb="FFA6A5A6"/>
      </bottom>
      <diagonal/>
    </border>
    <border>
      <left/>
      <right/>
      <top style="medium">
        <color rgb="FFA6A5A6"/>
      </top>
      <bottom/>
      <diagonal/>
    </border>
    <border>
      <left/>
      <right/>
      <top/>
      <bottom style="medium">
        <color rgb="FFA6A5A6"/>
      </bottom>
      <diagonal/>
    </border>
    <border>
      <left/>
      <right style="medium">
        <color rgb="FFFFFFFF"/>
      </right>
      <top/>
      <bottom style="medium">
        <color rgb="FFA6A5A6"/>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right style="medium">
        <color rgb="FFFFFFFF"/>
      </right>
      <top style="medium">
        <color rgb="FFFFFFFF"/>
      </top>
      <bottom style="medium">
        <color rgb="FFA5A6A5"/>
      </bottom>
      <diagonal/>
    </border>
    <border>
      <left style="medium">
        <color rgb="FFFFFFFF"/>
      </left>
      <right style="medium">
        <color rgb="FFFFFFFF"/>
      </right>
      <top style="medium">
        <color rgb="FFFFFFFF"/>
      </top>
      <bottom style="medium">
        <color rgb="FFA5A6A5"/>
      </bottom>
      <diagonal/>
    </border>
    <border>
      <left style="medium">
        <color rgb="FFFFFFFF"/>
      </left>
      <right style="medium">
        <color rgb="FFFFFFFF"/>
      </right>
      <top/>
      <bottom style="medium">
        <color rgb="FFFFFFFF"/>
      </bottom>
      <diagonal/>
    </border>
    <border>
      <left/>
      <right/>
      <top style="medium">
        <color rgb="FFBFBFBF"/>
      </top>
      <bottom/>
      <diagonal/>
    </border>
    <border>
      <left/>
      <right/>
      <top/>
      <bottom style="medium">
        <color rgb="FFBFBFBF"/>
      </bottom>
      <diagonal/>
    </border>
    <border>
      <left style="thick">
        <color rgb="FFFFFFFF"/>
      </left>
      <right style="thick">
        <color rgb="FFFFFFFF"/>
      </right>
      <top style="thick">
        <color rgb="FF000080"/>
      </top>
      <bottom style="thick">
        <color rgb="FF000080"/>
      </bottom>
      <diagonal/>
    </border>
    <border>
      <left/>
      <right style="thick">
        <color rgb="FFFFFFFF"/>
      </right>
      <top style="thick">
        <color rgb="FF000080"/>
      </top>
      <bottom style="thick">
        <color rgb="FF000080"/>
      </bottom>
      <diagonal/>
    </border>
    <border>
      <left style="thick">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style="thick">
        <color rgb="FFFFFFFF"/>
      </right>
      <top/>
      <bottom style="thick">
        <color rgb="FF000080"/>
      </bottom>
      <diagonal/>
    </border>
    <border>
      <left/>
      <right style="thick">
        <color rgb="FFFFFFFF"/>
      </right>
      <top/>
      <bottom style="thick">
        <color rgb="FF000080"/>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ck">
        <color rgb="FF808080"/>
      </left>
      <right style="thick">
        <color rgb="FF808080"/>
      </right>
      <top style="thick">
        <color rgb="FF808080"/>
      </top>
      <bottom style="thick">
        <color rgb="FF808080"/>
      </bottom>
      <diagonal/>
    </border>
    <border>
      <left/>
      <right style="thick">
        <color rgb="FF808080"/>
      </right>
      <top style="thick">
        <color rgb="FF808080"/>
      </top>
      <bottom style="thick">
        <color rgb="FF80808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808080"/>
      </left>
      <right style="thick">
        <color rgb="FF808080"/>
      </right>
      <top style="thick">
        <color rgb="FF808080"/>
      </top>
      <bottom/>
      <diagonal/>
    </border>
    <border>
      <left/>
      <right style="medium">
        <color indexed="64"/>
      </right>
      <top/>
      <bottom/>
      <diagonal/>
    </border>
    <border>
      <left style="thick">
        <color rgb="FF808080"/>
      </left>
      <right style="thick">
        <color rgb="FF808080"/>
      </right>
      <top/>
      <bottom style="thick">
        <color rgb="FF808080"/>
      </bottom>
      <diagonal/>
    </border>
    <border>
      <left/>
      <right style="thick">
        <color rgb="FF808080"/>
      </right>
      <top/>
      <bottom style="thick">
        <color rgb="FF808080"/>
      </bottom>
      <diagonal/>
    </border>
    <border>
      <left style="thick">
        <color rgb="FF808080"/>
      </left>
      <right style="thick">
        <color rgb="FF80808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bottom style="medium">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top style="medium">
        <color rgb="FF999999"/>
      </top>
      <bottom/>
      <diagonal/>
    </border>
    <border>
      <left/>
      <right/>
      <top/>
      <bottom style="medium">
        <color rgb="FF999999"/>
      </bottom>
      <diagonal/>
    </border>
    <border>
      <left/>
      <right/>
      <top style="medium">
        <color rgb="FF999999"/>
      </top>
      <bottom style="medium">
        <color rgb="FF999999"/>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FFFFFF"/>
      </left>
      <right style="medium">
        <color rgb="FFFFFFFF"/>
      </right>
      <top/>
      <bottom/>
      <diagonal/>
    </border>
    <border>
      <left style="thin">
        <color indexed="18"/>
      </left>
      <right style="thin">
        <color indexed="18"/>
      </right>
      <top style="thin">
        <color indexed="18"/>
      </top>
      <bottom style="thin">
        <color indexed="1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454545"/>
      </left>
      <right style="thin">
        <color rgb="FF454545"/>
      </right>
      <top style="thin">
        <color rgb="FF454545"/>
      </top>
      <bottom style="thin">
        <color rgb="FF454545"/>
      </bottom>
      <diagonal/>
    </border>
    <border>
      <left style="thin">
        <color indexed="18"/>
      </left>
      <right style="thin">
        <color indexed="18"/>
      </right>
      <top style="thin">
        <color indexed="18"/>
      </top>
      <bottom style="thin">
        <color indexed="18"/>
      </bottom>
      <diagonal/>
    </border>
    <border>
      <left/>
      <right/>
      <top style="thin">
        <color theme="1"/>
      </top>
      <bottom style="thin">
        <color theme="1"/>
      </bottom>
      <diagonal/>
    </border>
    <border>
      <left style="thin">
        <color theme="1"/>
      </left>
      <right/>
      <top style="thin">
        <color theme="1"/>
      </top>
      <bottom style="thin">
        <color theme="1"/>
      </bottom>
      <diagonal/>
    </border>
  </borders>
  <cellStyleXfs count="36">
    <xf numFmtId="0" fontId="0" fillId="0" borderId="0"/>
    <xf numFmtId="43" fontId="2" fillId="0" borderId="0" applyFont="0" applyFill="0" applyBorder="0" applyAlignment="0" applyProtection="0"/>
    <xf numFmtId="0" fontId="4" fillId="0" borderId="0"/>
    <xf numFmtId="0" fontId="5" fillId="0" borderId="0"/>
    <xf numFmtId="0" fontId="2" fillId="0" borderId="0"/>
    <xf numFmtId="166" fontId="4" fillId="0" borderId="0"/>
    <xf numFmtId="165" fontId="4"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4" fillId="0" borderId="0"/>
    <xf numFmtId="0" fontId="33" fillId="0" borderId="0" applyNumberFormat="0" applyFill="0" applyBorder="0" applyAlignment="0" applyProtection="0"/>
    <xf numFmtId="43" fontId="2" fillId="0" borderId="0" applyFont="0" applyFill="0" applyBorder="0" applyAlignment="0" applyProtection="0"/>
    <xf numFmtId="0" fontId="34" fillId="11" borderId="0"/>
    <xf numFmtId="4" fontId="34" fillId="12" borderId="79" applyNumberFormat="0" applyProtection="0">
      <alignment horizontal="left" vertical="center" indent="1"/>
    </xf>
    <xf numFmtId="4" fontId="34" fillId="12" borderId="79" applyNumberFormat="0" applyProtection="0">
      <alignment horizontal="left" vertical="center" indent="1"/>
    </xf>
    <xf numFmtId="4" fontId="34" fillId="13" borderId="79" applyNumberFormat="0" applyProtection="0">
      <alignment horizontal="left" vertical="center" indent="1"/>
    </xf>
    <xf numFmtId="4" fontId="34" fillId="0" borderId="79" applyNumberFormat="0" applyProtection="0">
      <alignment horizontal="right" vertical="center"/>
    </xf>
    <xf numFmtId="0" fontId="34" fillId="11" borderId="0"/>
    <xf numFmtId="0" fontId="40" fillId="0" borderId="0" applyNumberFormat="0" applyAlignment="0" applyProtection="0"/>
    <xf numFmtId="0" fontId="37" fillId="0" borderId="80" applyNumberFormat="0" applyAlignment="0" applyProtection="0"/>
    <xf numFmtId="0" fontId="38" fillId="0" borderId="81" applyNumberFormat="0" applyAlignment="0" applyProtection="0"/>
    <xf numFmtId="0" fontId="39" fillId="0" borderId="82" applyNumberFormat="0" applyAlignment="0" applyProtection="0"/>
    <xf numFmtId="0" fontId="39" fillId="0" borderId="0" applyNumberFormat="0" applyAlignment="0" applyProtection="0"/>
    <xf numFmtId="0" fontId="36" fillId="14" borderId="83" applyNumberFormat="0" applyAlignment="0" applyProtection="0"/>
    <xf numFmtId="0" fontId="35" fillId="0" borderId="85" applyNumberFormat="0" applyAlignment="0" applyProtection="0"/>
    <xf numFmtId="0" fontId="41" fillId="0" borderId="84" applyNumberFormat="0" applyAlignment="0" applyProtection="0"/>
    <xf numFmtId="0" fontId="1" fillId="0" borderId="0"/>
    <xf numFmtId="43" fontId="1" fillId="0" borderId="0" applyFont="0" applyFill="0" applyBorder="0" applyAlignment="0" applyProtection="0"/>
    <xf numFmtId="4" fontId="34" fillId="12" borderId="86" applyNumberFormat="0" applyProtection="0">
      <alignment horizontal="left" vertical="center" indent="1"/>
    </xf>
    <xf numFmtId="4" fontId="34" fillId="12" borderId="86" applyNumberFormat="0" applyProtection="0">
      <alignment horizontal="left" vertical="center" indent="1"/>
    </xf>
    <xf numFmtId="4" fontId="34" fillId="13" borderId="86" applyNumberFormat="0" applyProtection="0">
      <alignment horizontal="left" vertical="center" indent="1"/>
    </xf>
    <xf numFmtId="4" fontId="34" fillId="0" borderId="86" applyNumberFormat="0" applyProtection="0">
      <alignment horizontal="right" vertical="center"/>
    </xf>
    <xf numFmtId="0" fontId="1" fillId="0" borderId="0"/>
    <xf numFmtId="43" fontId="1" fillId="0" borderId="0" applyFont="0" applyFill="0" applyBorder="0" applyAlignment="0" applyProtection="0"/>
  </cellStyleXfs>
  <cellXfs count="499">
    <xf numFmtId="0" fontId="0" fillId="0" borderId="0" xfId="0"/>
    <xf numFmtId="0" fontId="6" fillId="2" borderId="8"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6" fillId="3" borderId="11" xfId="0" applyFont="1" applyFill="1" applyBorder="1" applyAlignment="1">
      <alignment horizontal="right" vertical="center" wrapText="1"/>
    </xf>
    <xf numFmtId="0" fontId="8" fillId="0" borderId="3" xfId="0" applyFont="1" applyBorder="1" applyAlignment="1">
      <alignment vertical="center" wrapText="1"/>
    </xf>
    <xf numFmtId="166" fontId="7" fillId="0" borderId="0" xfId="0" applyNumberFormat="1" applyFont="1" applyAlignment="1">
      <alignment horizontal="right" vertical="center" wrapText="1"/>
    </xf>
    <xf numFmtId="166" fontId="7" fillId="0" borderId="8" xfId="0" applyNumberFormat="1" applyFont="1" applyBorder="1" applyAlignment="1">
      <alignment horizontal="right" vertical="center" wrapText="1"/>
    </xf>
    <xf numFmtId="166" fontId="7" fillId="3" borderId="8" xfId="0" applyNumberFormat="1" applyFont="1" applyFill="1" applyBorder="1" applyAlignment="1">
      <alignment horizontal="right" vertical="center" wrapText="1"/>
    </xf>
    <xf numFmtId="166" fontId="7" fillId="3" borderId="0" xfId="0" applyNumberFormat="1" applyFont="1" applyFill="1" applyAlignment="1">
      <alignment horizontal="right" vertical="center" wrapText="1"/>
    </xf>
    <xf numFmtId="0" fontId="6" fillId="2" borderId="4" xfId="0" applyFont="1" applyFill="1" applyBorder="1" applyAlignment="1">
      <alignment vertical="center" wrapText="1"/>
    </xf>
    <xf numFmtId="164" fontId="7" fillId="0" borderId="0" xfId="0" applyNumberFormat="1" applyFont="1" applyAlignment="1">
      <alignment horizontal="right" vertical="center" wrapText="1"/>
    </xf>
    <xf numFmtId="164" fontId="6" fillId="2" borderId="10" xfId="0" applyNumberFormat="1" applyFont="1" applyFill="1" applyBorder="1" applyAlignment="1">
      <alignment horizontal="right" vertical="center" wrapText="1"/>
    </xf>
    <xf numFmtId="164" fontId="6" fillId="2" borderId="8" xfId="0" applyNumberFormat="1" applyFont="1" applyFill="1" applyBorder="1" applyAlignment="1">
      <alignment horizontal="right" vertical="center" wrapText="1"/>
    </xf>
    <xf numFmtId="164" fontId="7" fillId="3" borderId="0" xfId="0" applyNumberFormat="1" applyFont="1" applyFill="1" applyAlignment="1">
      <alignment horizontal="right" vertical="center" wrapText="1"/>
    </xf>
    <xf numFmtId="166" fontId="6" fillId="2" borderId="8" xfId="0" applyNumberFormat="1" applyFont="1" applyFill="1" applyBorder="1" applyAlignment="1">
      <alignment horizontal="right" vertical="center" wrapText="1"/>
    </xf>
    <xf numFmtId="166" fontId="6" fillId="3" borderId="8" xfId="0" applyNumberFormat="1" applyFont="1" applyFill="1" applyBorder="1" applyAlignment="1">
      <alignment horizontal="right" vertical="center" wrapText="1"/>
    </xf>
    <xf numFmtId="164" fontId="7" fillId="0" borderId="8" xfId="0" applyNumberFormat="1" applyFont="1" applyBorder="1" applyAlignment="1">
      <alignment horizontal="right" vertical="center" wrapText="1"/>
    </xf>
    <xf numFmtId="164" fontId="6" fillId="3" borderId="8" xfId="0" applyNumberFormat="1" applyFont="1" applyFill="1" applyBorder="1" applyAlignment="1">
      <alignment horizontal="right" vertical="center" wrapText="1"/>
    </xf>
    <xf numFmtId="164" fontId="6" fillId="3" borderId="10" xfId="0" applyNumberFormat="1" applyFont="1" applyFill="1" applyBorder="1" applyAlignment="1">
      <alignment horizontal="right" vertical="center" wrapText="1"/>
    </xf>
    <xf numFmtId="0" fontId="6" fillId="2" borderId="5" xfId="0" applyFont="1" applyFill="1" applyBorder="1" applyAlignment="1">
      <alignment horizontal="right" vertical="center" wrapText="1"/>
    </xf>
    <xf numFmtId="0" fontId="6" fillId="3" borderId="5" xfId="0" applyFont="1" applyFill="1" applyBorder="1" applyAlignment="1">
      <alignment horizontal="right" vertical="center" wrapText="1"/>
    </xf>
    <xf numFmtId="164" fontId="6" fillId="2" borderId="0" xfId="0" applyNumberFormat="1" applyFont="1" applyFill="1" applyAlignment="1">
      <alignment horizontal="right" vertical="center" wrapText="1"/>
    </xf>
    <xf numFmtId="164" fontId="6" fillId="3" borderId="0" xfId="0" applyNumberFormat="1" applyFont="1" applyFill="1" applyAlignment="1">
      <alignment horizontal="right" vertical="center" wrapText="1"/>
    </xf>
    <xf numFmtId="164" fontId="6" fillId="2" borderId="9" xfId="0" applyNumberFormat="1" applyFont="1" applyFill="1" applyBorder="1" applyAlignment="1">
      <alignment horizontal="right" vertical="center" wrapText="1"/>
    </xf>
    <xf numFmtId="164" fontId="7" fillId="3" borderId="8" xfId="0" applyNumberFormat="1" applyFont="1" applyFill="1" applyBorder="1" applyAlignment="1">
      <alignment horizontal="right" vertical="center" wrapText="1"/>
    </xf>
    <xf numFmtId="164" fontId="7" fillId="3" borderId="11" xfId="0" applyNumberFormat="1" applyFont="1" applyFill="1" applyBorder="1" applyAlignment="1">
      <alignment horizontal="right" vertical="center" wrapText="1"/>
    </xf>
    <xf numFmtId="164" fontId="7" fillId="3" borderId="12" xfId="0" applyNumberFormat="1" applyFont="1" applyFill="1" applyBorder="1" applyAlignment="1">
      <alignment horizontal="right" vertical="center" wrapText="1"/>
    </xf>
    <xf numFmtId="164" fontId="7" fillId="3" borderId="22" xfId="0" applyNumberFormat="1" applyFont="1" applyFill="1" applyBorder="1" applyAlignment="1">
      <alignment horizontal="right" vertical="center" wrapText="1"/>
    </xf>
    <xf numFmtId="164" fontId="6" fillId="2" borderId="20" xfId="0" applyNumberFormat="1" applyFont="1" applyFill="1" applyBorder="1" applyAlignment="1">
      <alignment vertical="center" wrapText="1"/>
    </xf>
    <xf numFmtId="164" fontId="7" fillId="3" borderId="16" xfId="0" applyNumberFormat="1" applyFont="1" applyFill="1" applyBorder="1" applyAlignment="1">
      <alignment horizontal="right" vertical="center" wrapText="1"/>
    </xf>
    <xf numFmtId="164" fontId="6" fillId="6" borderId="10" xfId="0" applyNumberFormat="1" applyFont="1" applyFill="1" applyBorder="1" applyAlignment="1">
      <alignment horizontal="right" vertical="center" wrapText="1"/>
    </xf>
    <xf numFmtId="164" fontId="6" fillId="6" borderId="8" xfId="0" applyNumberFormat="1" applyFont="1" applyFill="1" applyBorder="1" applyAlignment="1">
      <alignment horizontal="right" vertical="center" wrapText="1"/>
    </xf>
    <xf numFmtId="164" fontId="6" fillId="6" borderId="0" xfId="0" applyNumberFormat="1" applyFont="1" applyFill="1" applyAlignment="1">
      <alignment horizontal="right" vertical="center" wrapText="1"/>
    </xf>
    <xf numFmtId="0" fontId="0" fillId="6" borderId="0" xfId="0" applyFill="1"/>
    <xf numFmtId="0" fontId="6" fillId="0" borderId="5" xfId="0" applyFont="1" applyBorder="1" applyAlignment="1">
      <alignment horizontal="right" vertical="center" wrapText="1"/>
    </xf>
    <xf numFmtId="0" fontId="3" fillId="6" borderId="0" xfId="0" applyFont="1" applyFill="1"/>
    <xf numFmtId="0" fontId="7" fillId="6" borderId="4" xfId="0" applyFont="1" applyFill="1" applyBorder="1" applyAlignment="1">
      <alignment vertical="center" wrapText="1"/>
    </xf>
    <xf numFmtId="0" fontId="7" fillId="6" borderId="3" xfId="0" applyFont="1" applyFill="1" applyBorder="1" applyAlignment="1">
      <alignment vertical="center" wrapText="1"/>
    </xf>
    <xf numFmtId="166" fontId="7" fillId="6" borderId="0" xfId="0" applyNumberFormat="1" applyFont="1" applyFill="1" applyAlignment="1">
      <alignment horizontal="right" vertical="center" wrapText="1"/>
    </xf>
    <xf numFmtId="164" fontId="7" fillId="6" borderId="0" xfId="0" applyNumberFormat="1" applyFont="1" applyFill="1" applyAlignment="1">
      <alignment horizontal="right" vertical="center" wrapText="1"/>
    </xf>
    <xf numFmtId="164" fontId="7" fillId="6" borderId="7" xfId="0" applyNumberFormat="1" applyFont="1" applyFill="1" applyBorder="1" applyAlignment="1">
      <alignment horizontal="right" vertical="center" wrapText="1"/>
    </xf>
    <xf numFmtId="164" fontId="7" fillId="6" borderId="8"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7" fillId="6" borderId="3" xfId="0" applyNumberFormat="1" applyFont="1" applyFill="1" applyBorder="1" applyAlignment="1">
      <alignment vertical="center" wrapText="1"/>
    </xf>
    <xf numFmtId="164" fontId="7" fillId="6" borderId="0" xfId="0" applyNumberFormat="1" applyFont="1" applyFill="1" applyAlignment="1">
      <alignment vertical="center" wrapText="1"/>
    </xf>
    <xf numFmtId="164" fontId="7" fillId="6" borderId="5" xfId="0" applyNumberFormat="1" applyFont="1" applyFill="1" applyBorder="1" applyAlignment="1">
      <alignment horizontal="right" vertical="center" wrapText="1"/>
    </xf>
    <xf numFmtId="164" fontId="6" fillId="6" borderId="0" xfId="0" applyNumberFormat="1" applyFont="1" applyFill="1" applyAlignment="1">
      <alignment vertical="center" wrapText="1"/>
    </xf>
    <xf numFmtId="164" fontId="7" fillId="6" borderId="22" xfId="0" applyNumberFormat="1" applyFont="1" applyFill="1" applyBorder="1" applyAlignment="1">
      <alignment horizontal="right" vertical="center" wrapText="1"/>
    </xf>
    <xf numFmtId="164" fontId="7" fillId="6" borderId="23" xfId="0" applyNumberFormat="1" applyFont="1" applyFill="1" applyBorder="1" applyAlignment="1">
      <alignment horizontal="right" vertical="center" wrapText="1"/>
    </xf>
    <xf numFmtId="0" fontId="11" fillId="0" borderId="0" xfId="0" applyFont="1"/>
    <xf numFmtId="0" fontId="3" fillId="6" borderId="25" xfId="0" applyFont="1" applyFill="1" applyBorder="1"/>
    <xf numFmtId="0" fontId="3" fillId="6" borderId="26" xfId="0" applyFont="1" applyFill="1" applyBorder="1"/>
    <xf numFmtId="168" fontId="3" fillId="6" borderId="26" xfId="0" applyNumberFormat="1" applyFont="1" applyFill="1" applyBorder="1"/>
    <xf numFmtId="168" fontId="0" fillId="6" borderId="0" xfId="0" applyNumberFormat="1" applyFill="1"/>
    <xf numFmtId="0" fontId="13" fillId="6" borderId="0" xfId="0" applyFont="1" applyFill="1"/>
    <xf numFmtId="2" fontId="3" fillId="6" borderId="26" xfId="0" applyNumberFormat="1" applyFont="1" applyFill="1" applyBorder="1"/>
    <xf numFmtId="0" fontId="3" fillId="6" borderId="25" xfId="0" applyFont="1" applyFill="1" applyBorder="1" applyAlignment="1">
      <alignment horizontal="right"/>
    </xf>
    <xf numFmtId="0" fontId="3" fillId="6" borderId="0" xfId="0" applyFont="1" applyFill="1" applyAlignment="1">
      <alignment horizontal="right"/>
    </xf>
    <xf numFmtId="2" fontId="0" fillId="6" borderId="0" xfId="0" applyNumberFormat="1" applyFill="1"/>
    <xf numFmtId="0" fontId="14" fillId="6" borderId="0" xfId="0" applyFont="1" applyFill="1" applyAlignment="1">
      <alignment horizontal="left"/>
    </xf>
    <xf numFmtId="0" fontId="14" fillId="6" borderId="0" xfId="0" applyFont="1" applyFill="1"/>
    <xf numFmtId="0" fontId="15" fillId="6" borderId="0" xfId="0" applyFont="1" applyFill="1"/>
    <xf numFmtId="0" fontId="3" fillId="6" borderId="25" xfId="0" applyFont="1" applyFill="1" applyBorder="1" applyAlignment="1">
      <alignment horizontal="center"/>
    </xf>
    <xf numFmtId="0" fontId="3" fillId="6" borderId="0" xfId="0" applyFont="1" applyFill="1" applyAlignment="1">
      <alignment horizontal="center"/>
    </xf>
    <xf numFmtId="0" fontId="0" fillId="6" borderId="25" xfId="0" applyFill="1" applyBorder="1"/>
    <xf numFmtId="0" fontId="0" fillId="6" borderId="0" xfId="0" applyFill="1" applyAlignment="1">
      <alignment horizontal="right" vertical="center" wrapText="1"/>
    </xf>
    <xf numFmtId="0" fontId="3" fillId="6" borderId="0" xfId="0" applyFont="1" applyFill="1" applyAlignment="1">
      <alignment horizontal="right" vertical="center" wrapText="1"/>
    </xf>
    <xf numFmtId="0" fontId="0" fillId="6" borderId="24" xfId="0" applyFill="1" applyBorder="1"/>
    <xf numFmtId="0" fontId="3" fillId="6" borderId="24" xfId="0" applyFont="1" applyFill="1" applyBorder="1" applyAlignment="1">
      <alignment horizontal="right" vertical="center" wrapText="1"/>
    </xf>
    <xf numFmtId="3" fontId="0" fillId="0" borderId="0" xfId="0" applyNumberFormat="1"/>
    <xf numFmtId="0" fontId="6" fillId="2" borderId="6" xfId="0" applyFont="1" applyFill="1" applyBorder="1" applyAlignment="1">
      <alignment horizontal="right" vertical="center" wrapText="1"/>
    </xf>
    <xf numFmtId="164" fontId="6" fillId="6" borderId="7" xfId="0" applyNumberFormat="1" applyFont="1" applyFill="1" applyBorder="1" applyAlignment="1">
      <alignment horizontal="right" vertical="center" wrapText="1"/>
    </xf>
    <xf numFmtId="166" fontId="7" fillId="6" borderId="7" xfId="0" applyNumberFormat="1" applyFont="1" applyFill="1" applyBorder="1" applyAlignment="1">
      <alignment horizontal="right" vertical="center" wrapText="1"/>
    </xf>
    <xf numFmtId="166" fontId="7" fillId="6" borderId="8" xfId="0" applyNumberFormat="1" applyFont="1" applyFill="1" applyBorder="1" applyAlignment="1">
      <alignment horizontal="right" vertical="center" wrapText="1"/>
    </xf>
    <xf numFmtId="166" fontId="7" fillId="6" borderId="9" xfId="0" applyNumberFormat="1" applyFont="1" applyFill="1" applyBorder="1" applyAlignment="1">
      <alignment horizontal="right" vertical="center" wrapText="1"/>
    </xf>
    <xf numFmtId="0" fontId="6" fillId="2" borderId="8" xfId="0" applyFont="1" applyFill="1" applyBorder="1" applyAlignment="1">
      <alignment horizontal="left" vertical="center" wrapText="1"/>
    </xf>
    <xf numFmtId="164" fontId="6" fillId="6" borderId="1" xfId="0" applyNumberFormat="1" applyFont="1" applyFill="1" applyBorder="1" applyAlignment="1">
      <alignment vertical="center" wrapText="1"/>
    </xf>
    <xf numFmtId="164" fontId="8" fillId="6" borderId="0" xfId="0" applyNumberFormat="1" applyFont="1" applyFill="1" applyAlignment="1">
      <alignment vertical="center" wrapText="1"/>
    </xf>
    <xf numFmtId="164" fontId="7" fillId="6" borderId="20" xfId="0" applyNumberFormat="1" applyFont="1" applyFill="1" applyBorder="1" applyAlignment="1">
      <alignment vertical="center" wrapText="1"/>
    </xf>
    <xf numFmtId="164" fontId="6" fillId="6" borderId="20" xfId="0" applyNumberFormat="1" applyFont="1" applyFill="1" applyBorder="1" applyAlignment="1">
      <alignment vertical="center" wrapText="1"/>
    </xf>
    <xf numFmtId="164" fontId="7" fillId="6" borderId="8" xfId="0" applyNumberFormat="1" applyFont="1" applyFill="1" applyBorder="1" applyAlignment="1">
      <alignment vertical="center" wrapText="1"/>
    </xf>
    <xf numFmtId="168" fontId="3" fillId="6" borderId="26" xfId="0" applyNumberFormat="1" applyFont="1" applyFill="1" applyBorder="1" applyAlignment="1">
      <alignment horizontal="right" vertical="center" wrapText="1"/>
    </xf>
    <xf numFmtId="168" fontId="0" fillId="6" borderId="0" xfId="0" applyNumberFormat="1" applyFill="1" applyAlignment="1">
      <alignment horizontal="right" vertical="center" wrapText="1"/>
    </xf>
    <xf numFmtId="168" fontId="13" fillId="6" borderId="0" xfId="0" applyNumberFormat="1" applyFont="1" applyFill="1"/>
    <xf numFmtId="167" fontId="0" fillId="0" borderId="0" xfId="1" applyNumberFormat="1" applyFont="1"/>
    <xf numFmtId="164" fontId="7" fillId="6" borderId="6" xfId="0" applyNumberFormat="1" applyFont="1" applyFill="1" applyBorder="1" applyAlignment="1">
      <alignment horizontal="right" vertical="center" wrapText="1"/>
    </xf>
    <xf numFmtId="0" fontId="3" fillId="0" borderId="0" xfId="0" applyFont="1"/>
    <xf numFmtId="0" fontId="16" fillId="0" borderId="0" xfId="0" applyFont="1" applyAlignment="1">
      <alignment horizontal="left" vertical="center" indent="2"/>
    </xf>
    <xf numFmtId="0" fontId="18" fillId="0" borderId="32" xfId="0" applyFont="1" applyBorder="1" applyAlignment="1">
      <alignment vertical="center"/>
    </xf>
    <xf numFmtId="0" fontId="18" fillId="0" borderId="33" xfId="0" applyFont="1" applyBorder="1" applyAlignment="1">
      <alignment horizontal="right" vertical="center"/>
    </xf>
    <xf numFmtId="0" fontId="19" fillId="0" borderId="34" xfId="0" applyFont="1" applyBorder="1" applyAlignment="1">
      <alignment vertical="center"/>
    </xf>
    <xf numFmtId="0" fontId="19" fillId="0" borderId="35" xfId="0" applyFont="1" applyBorder="1" applyAlignment="1">
      <alignment horizontal="right" vertical="center"/>
    </xf>
    <xf numFmtId="0" fontId="19" fillId="0" borderId="36" xfId="0" applyFont="1" applyBorder="1" applyAlignment="1">
      <alignment vertical="center"/>
    </xf>
    <xf numFmtId="0" fontId="19" fillId="0" borderId="37" xfId="0" applyFont="1" applyBorder="1" applyAlignment="1">
      <alignment horizontal="right" vertical="center"/>
    </xf>
    <xf numFmtId="3" fontId="19" fillId="0" borderId="37" xfId="0" applyNumberFormat="1" applyFont="1" applyBorder="1" applyAlignment="1">
      <alignment horizontal="right" vertical="center"/>
    </xf>
    <xf numFmtId="0" fontId="18" fillId="0" borderId="36" xfId="0" applyFont="1" applyBorder="1" applyAlignment="1">
      <alignment vertical="center"/>
    </xf>
    <xf numFmtId="0" fontId="18" fillId="0" borderId="37" xfId="0" applyFont="1" applyBorder="1" applyAlignment="1">
      <alignment horizontal="right" vertical="center"/>
    </xf>
    <xf numFmtId="3" fontId="18" fillId="0" borderId="37" xfId="0" applyNumberFormat="1" applyFont="1" applyBorder="1" applyAlignment="1">
      <alignment horizontal="right" vertical="center"/>
    </xf>
    <xf numFmtId="0" fontId="19" fillId="0" borderId="34" xfId="0" applyFont="1" applyBorder="1" applyAlignment="1">
      <alignment horizontal="left" vertical="center" indent="2"/>
    </xf>
    <xf numFmtId="169" fontId="0" fillId="0" borderId="0" xfId="1" applyNumberFormat="1" applyFont="1"/>
    <xf numFmtId="169" fontId="3" fillId="0" borderId="0" xfId="1" applyNumberFormat="1" applyFont="1"/>
    <xf numFmtId="0" fontId="18" fillId="0" borderId="0" xfId="0" applyFont="1" applyAlignment="1">
      <alignment vertical="center"/>
    </xf>
    <xf numFmtId="3" fontId="18" fillId="0" borderId="0" xfId="0" applyNumberFormat="1" applyFont="1" applyAlignment="1">
      <alignment horizontal="right" vertical="center"/>
    </xf>
    <xf numFmtId="169" fontId="0" fillId="0" borderId="0" xfId="0" applyNumberFormat="1"/>
    <xf numFmtId="169" fontId="3" fillId="0" borderId="0" xfId="0" applyNumberFormat="1" applyFont="1"/>
    <xf numFmtId="167" fontId="3" fillId="0" borderId="0" xfId="1" applyNumberFormat="1" applyFont="1"/>
    <xf numFmtId="0" fontId="0" fillId="0" borderId="0" xfId="0" applyAlignment="1">
      <alignment wrapText="1"/>
    </xf>
    <xf numFmtId="0" fontId="18" fillId="0" borderId="33" xfId="0" applyFont="1" applyBorder="1" applyAlignment="1">
      <alignment horizontal="right" vertical="center" wrapText="1"/>
    </xf>
    <xf numFmtId="0" fontId="19" fillId="0" borderId="35" xfId="0" applyFont="1" applyBorder="1" applyAlignment="1">
      <alignment horizontal="right" vertical="center" wrapText="1"/>
    </xf>
    <xf numFmtId="0" fontId="19" fillId="0" borderId="37" xfId="0" applyFont="1" applyBorder="1" applyAlignment="1">
      <alignment horizontal="right" vertical="center" wrapText="1"/>
    </xf>
    <xf numFmtId="0" fontId="18" fillId="0" borderId="37" xfId="0" applyFont="1" applyBorder="1" applyAlignment="1">
      <alignment horizontal="right" vertical="center" wrapText="1"/>
    </xf>
    <xf numFmtId="164" fontId="7" fillId="6" borderId="5" xfId="0" applyNumberFormat="1" applyFont="1" applyFill="1" applyBorder="1" applyAlignment="1">
      <alignment horizontal="left" vertical="center" wrapText="1"/>
    </xf>
    <xf numFmtId="164" fontId="7" fillId="6" borderId="0" xfId="0" applyNumberFormat="1" applyFont="1" applyFill="1" applyAlignment="1">
      <alignment horizontal="left" vertical="center" wrapText="1"/>
    </xf>
    <xf numFmtId="164" fontId="7" fillId="6" borderId="8" xfId="0" applyNumberFormat="1" applyFont="1" applyFill="1" applyBorder="1" applyAlignment="1">
      <alignment horizontal="left" vertical="center" wrapText="1"/>
    </xf>
    <xf numFmtId="167" fontId="2" fillId="0" borderId="0" xfId="1" applyNumberFormat="1" applyFont="1"/>
    <xf numFmtId="169" fontId="2" fillId="0" borderId="0" xfId="1" applyNumberFormat="1" applyFont="1"/>
    <xf numFmtId="2" fontId="0" fillId="0" borderId="0" xfId="7" applyNumberFormat="1" applyFont="1"/>
    <xf numFmtId="170" fontId="0" fillId="0" borderId="0" xfId="1" applyNumberFormat="1" applyFont="1"/>
    <xf numFmtId="170" fontId="0" fillId="0" borderId="0" xfId="0" applyNumberFormat="1"/>
    <xf numFmtId="164" fontId="8" fillId="6" borderId="5" xfId="0" applyNumberFormat="1" applyFont="1" applyFill="1" applyBorder="1" applyAlignment="1">
      <alignment horizontal="left" vertical="center" wrapText="1"/>
    </xf>
    <xf numFmtId="164" fontId="6" fillId="2" borderId="8" xfId="0" applyNumberFormat="1" applyFont="1" applyFill="1" applyBorder="1" applyAlignment="1">
      <alignment horizontal="left" vertical="center" wrapText="1"/>
    </xf>
    <xf numFmtId="0" fontId="6" fillId="2" borderId="5" xfId="0" applyFont="1" applyFill="1" applyBorder="1" applyAlignment="1">
      <alignment horizontal="left" vertical="center" wrapText="1"/>
    </xf>
    <xf numFmtId="43" fontId="18" fillId="0" borderId="0" xfId="0" applyNumberFormat="1" applyFont="1" applyAlignment="1">
      <alignment vertical="center"/>
    </xf>
    <xf numFmtId="164" fontId="13" fillId="0" borderId="0" xfId="0" applyNumberFormat="1" applyFont="1"/>
    <xf numFmtId="0" fontId="7" fillId="6" borderId="0" xfId="0" applyFont="1" applyFill="1" applyAlignment="1">
      <alignment vertical="center"/>
    </xf>
    <xf numFmtId="0" fontId="6" fillId="8" borderId="0" xfId="0" applyFont="1" applyFill="1" applyAlignment="1">
      <alignment vertical="center"/>
    </xf>
    <xf numFmtId="0" fontId="6" fillId="5" borderId="0" xfId="0" applyFont="1" applyFill="1" applyAlignment="1">
      <alignment vertical="center"/>
    </xf>
    <xf numFmtId="164" fontId="13" fillId="6" borderId="0" xfId="0" applyNumberFormat="1" applyFont="1" applyFill="1"/>
    <xf numFmtId="0" fontId="20" fillId="3" borderId="5" xfId="0" applyFont="1" applyFill="1" applyBorder="1" applyAlignment="1">
      <alignment horizontal="right" vertical="center" wrapText="1"/>
    </xf>
    <xf numFmtId="0" fontId="20" fillId="2" borderId="5" xfId="0" applyFont="1" applyFill="1" applyBorder="1" applyAlignment="1">
      <alignment horizontal="right" vertical="center" wrapText="1"/>
    </xf>
    <xf numFmtId="0" fontId="20" fillId="3" borderId="8" xfId="0" applyFont="1" applyFill="1" applyBorder="1" applyAlignment="1">
      <alignment horizontal="right" vertical="center" wrapText="1"/>
    </xf>
    <xf numFmtId="0" fontId="20" fillId="2" borderId="8" xfId="0" applyFont="1" applyFill="1" applyBorder="1" applyAlignment="1">
      <alignment horizontal="right" vertical="center" wrapText="1"/>
    </xf>
    <xf numFmtId="0" fontId="8" fillId="0" borderId="4" xfId="0" applyFont="1" applyBorder="1" applyAlignment="1">
      <alignment vertical="center" wrapText="1"/>
    </xf>
    <xf numFmtId="0" fontId="20" fillId="2" borderId="4" xfId="0" applyFont="1" applyFill="1" applyBorder="1" applyAlignment="1">
      <alignment vertical="center" wrapText="1"/>
    </xf>
    <xf numFmtId="164" fontId="7" fillId="3" borderId="0" xfId="1" applyNumberFormat="1" applyFont="1" applyFill="1" applyAlignment="1">
      <alignment horizontal="right" vertical="center" wrapText="1"/>
    </xf>
    <xf numFmtId="164" fontId="6" fillId="0" borderId="8" xfId="1" applyNumberFormat="1" applyFont="1" applyBorder="1" applyAlignment="1">
      <alignment horizontal="right" vertical="center" wrapText="1"/>
    </xf>
    <xf numFmtId="164" fontId="6" fillId="3" borderId="8" xfId="1" applyNumberFormat="1" applyFont="1" applyFill="1" applyBorder="1" applyAlignment="1">
      <alignment horizontal="right" vertical="center" wrapText="1"/>
    </xf>
    <xf numFmtId="0" fontId="6" fillId="9" borderId="0" xfId="0" applyFont="1" applyFill="1" applyAlignment="1">
      <alignment vertical="center"/>
    </xf>
    <xf numFmtId="164" fontId="8" fillId="3" borderId="0" xfId="0" applyNumberFormat="1" applyFont="1" applyFill="1" applyAlignment="1">
      <alignment horizontal="right" vertical="center" wrapText="1"/>
    </xf>
    <xf numFmtId="164" fontId="8" fillId="0" borderId="0" xfId="0" applyNumberFormat="1" applyFont="1" applyAlignment="1">
      <alignment horizontal="right" vertical="center" wrapText="1"/>
    </xf>
    <xf numFmtId="164" fontId="21" fillId="3" borderId="0" xfId="0" applyNumberFormat="1" applyFont="1" applyFill="1" applyAlignment="1">
      <alignment horizontal="right" vertical="center" wrapText="1"/>
    </xf>
    <xf numFmtId="164" fontId="21" fillId="3" borderId="8" xfId="0" applyNumberFormat="1" applyFont="1" applyFill="1" applyBorder="1" applyAlignment="1">
      <alignment horizontal="right" vertical="center" wrapText="1"/>
    </xf>
    <xf numFmtId="164" fontId="8" fillId="0" borderId="8" xfId="0" applyNumberFormat="1" applyFont="1" applyBorder="1" applyAlignment="1">
      <alignment horizontal="right" vertical="center" wrapText="1"/>
    </xf>
    <xf numFmtId="164" fontId="22" fillId="3" borderId="8" xfId="0" applyNumberFormat="1" applyFont="1" applyFill="1" applyBorder="1" applyAlignment="1">
      <alignment horizontal="right" vertical="center" wrapText="1"/>
    </xf>
    <xf numFmtId="164" fontId="20" fillId="2" borderId="8" xfId="0" applyNumberFormat="1" applyFont="1" applyFill="1" applyBorder="1" applyAlignment="1">
      <alignment horizontal="right" vertical="center" wrapText="1"/>
    </xf>
    <xf numFmtId="0" fontId="0" fillId="7" borderId="0" xfId="0" applyFill="1"/>
    <xf numFmtId="0" fontId="6" fillId="6" borderId="30" xfId="0" applyFont="1" applyFill="1" applyBorder="1" applyAlignment="1">
      <alignment vertical="center"/>
    </xf>
    <xf numFmtId="0" fontId="6" fillId="6" borderId="30" xfId="0" applyFont="1" applyFill="1" applyBorder="1" applyAlignment="1">
      <alignment horizontal="right" vertical="center" wrapText="1"/>
    </xf>
    <xf numFmtId="0" fontId="6" fillId="3" borderId="30" xfId="0" applyFont="1" applyFill="1" applyBorder="1" applyAlignment="1">
      <alignment horizontal="right" vertical="center" wrapText="1"/>
    </xf>
    <xf numFmtId="0" fontId="6" fillId="6" borderId="31" xfId="0" applyFont="1" applyFill="1" applyBorder="1" applyAlignment="1">
      <alignment vertical="center"/>
    </xf>
    <xf numFmtId="0" fontId="6" fillId="6" borderId="31" xfId="0" applyFont="1" applyFill="1" applyBorder="1" applyAlignment="1">
      <alignment horizontal="right" vertical="center" wrapText="1"/>
    </xf>
    <xf numFmtId="0" fontId="6" fillId="3" borderId="31" xfId="0" applyFont="1" applyFill="1" applyBorder="1" applyAlignment="1">
      <alignment horizontal="right" vertical="center" wrapText="1"/>
    </xf>
    <xf numFmtId="0" fontId="23" fillId="0" borderId="0" xfId="0" applyFont="1"/>
    <xf numFmtId="164" fontId="7" fillId="6" borderId="0" xfId="1" applyNumberFormat="1" applyFont="1" applyFill="1" applyAlignment="1">
      <alignment horizontal="right" vertical="center" wrapText="1"/>
    </xf>
    <xf numFmtId="0" fontId="6" fillId="6" borderId="4" xfId="0" applyFont="1" applyFill="1" applyBorder="1" applyAlignment="1">
      <alignment vertical="center" wrapText="1"/>
    </xf>
    <xf numFmtId="164" fontId="6" fillId="6" borderId="8" xfId="1" applyNumberFormat="1" applyFont="1" applyFill="1" applyBorder="1" applyAlignment="1">
      <alignment horizontal="right" vertical="center" wrapText="1"/>
    </xf>
    <xf numFmtId="8" fontId="0" fillId="0" borderId="0" xfId="0" applyNumberFormat="1"/>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4" fillId="0" borderId="0" xfId="11"/>
    <xf numFmtId="0" fontId="6" fillId="6" borderId="42" xfId="0" applyFont="1" applyFill="1" applyBorder="1" applyAlignment="1">
      <alignment horizontal="right" vertical="center" wrapText="1"/>
    </xf>
    <xf numFmtId="169" fontId="6" fillId="6" borderId="43" xfId="1" applyNumberFormat="1" applyFont="1" applyFill="1" applyBorder="1" applyAlignment="1">
      <alignment horizontal="right" vertical="center" wrapText="1"/>
    </xf>
    <xf numFmtId="169" fontId="6" fillId="6" borderId="44" xfId="1" applyNumberFormat="1" applyFont="1" applyFill="1" applyBorder="1" applyAlignment="1">
      <alignment horizontal="right" vertical="center" wrapText="1"/>
    </xf>
    <xf numFmtId="0" fontId="25" fillId="0" borderId="45" xfId="0" applyFont="1" applyBorder="1" applyAlignment="1">
      <alignment vertical="center" wrapText="1"/>
    </xf>
    <xf numFmtId="6" fontId="26" fillId="0" borderId="45" xfId="0" applyNumberFormat="1" applyFont="1" applyBorder="1" applyAlignment="1">
      <alignment vertical="center" wrapText="1"/>
    </xf>
    <xf numFmtId="0" fontId="4" fillId="0" borderId="38" xfId="11" applyBorder="1"/>
    <xf numFmtId="169" fontId="4" fillId="0" borderId="0" xfId="1" applyNumberFormat="1" applyFont="1"/>
    <xf numFmtId="169" fontId="4" fillId="0" borderId="46" xfId="1" applyNumberFormat="1" applyFont="1" applyBorder="1"/>
    <xf numFmtId="0" fontId="25" fillId="0" borderId="40" xfId="0" applyFont="1" applyBorder="1" applyAlignment="1">
      <alignment vertical="center" wrapText="1"/>
    </xf>
    <xf numFmtId="0" fontId="25" fillId="0" borderId="47" xfId="0" applyFont="1" applyBorder="1" applyAlignment="1">
      <alignment vertical="center" wrapText="1"/>
    </xf>
    <xf numFmtId="0" fontId="27" fillId="0" borderId="40" xfId="0" applyFont="1" applyBorder="1" applyAlignment="1">
      <alignment vertical="center" wrapText="1"/>
    </xf>
    <xf numFmtId="6" fontId="24" fillId="0" borderId="40" xfId="0" applyNumberFormat="1" applyFont="1" applyBorder="1" applyAlignment="1">
      <alignment vertical="center" wrapText="1"/>
    </xf>
    <xf numFmtId="6" fontId="4" fillId="0" borderId="0" xfId="11" applyNumberFormat="1"/>
    <xf numFmtId="0" fontId="25" fillId="0" borderId="0" xfId="0" applyFont="1" applyAlignment="1">
      <alignment vertical="center"/>
    </xf>
    <xf numFmtId="5" fontId="26" fillId="0" borderId="48" xfId="0" applyNumberFormat="1" applyFont="1" applyBorder="1" applyAlignment="1">
      <alignment horizontal="right" vertical="center" wrapText="1"/>
    </xf>
    <xf numFmtId="0" fontId="27" fillId="0" borderId="45" xfId="0" applyFont="1" applyBorder="1" applyAlignment="1">
      <alignment vertical="center" wrapText="1"/>
    </xf>
    <xf numFmtId="5" fontId="24" fillId="0" borderId="40" xfId="0" applyNumberFormat="1" applyFont="1" applyBorder="1" applyAlignment="1">
      <alignment vertical="center" wrapText="1"/>
    </xf>
    <xf numFmtId="5" fontId="26" fillId="0" borderId="49" xfId="0" applyNumberFormat="1" applyFont="1" applyBorder="1" applyAlignment="1">
      <alignment vertical="center" wrapText="1"/>
    </xf>
    <xf numFmtId="5" fontId="26" fillId="0" borderId="47" xfId="0" applyNumberFormat="1" applyFont="1" applyBorder="1" applyAlignment="1">
      <alignment horizontal="right" vertical="center" wrapText="1"/>
    </xf>
    <xf numFmtId="0" fontId="27" fillId="0" borderId="47" xfId="0" applyFont="1" applyBorder="1" applyAlignment="1">
      <alignment vertical="center" wrapText="1"/>
    </xf>
    <xf numFmtId="8" fontId="24" fillId="0" borderId="48" xfId="0" applyNumberFormat="1" applyFont="1" applyBorder="1" applyAlignment="1">
      <alignment horizontal="right" vertical="center" wrapText="1"/>
    </xf>
    <xf numFmtId="6" fontId="24" fillId="0" borderId="48" xfId="0" applyNumberFormat="1" applyFont="1" applyBorder="1" applyAlignment="1">
      <alignment horizontal="right" vertical="center" wrapText="1"/>
    </xf>
    <xf numFmtId="6" fontId="26" fillId="0" borderId="48" xfId="0" applyNumberFormat="1" applyFont="1" applyBorder="1" applyAlignment="1">
      <alignment horizontal="right" vertical="center" wrapText="1"/>
    </xf>
    <xf numFmtId="0" fontId="28" fillId="0" borderId="50" xfId="11" applyFont="1" applyBorder="1"/>
    <xf numFmtId="169" fontId="6" fillId="6" borderId="51" xfId="1" applyNumberFormat="1" applyFont="1" applyFill="1" applyBorder="1" applyAlignment="1">
      <alignment horizontal="right" vertical="center" wrapText="1"/>
    </xf>
    <xf numFmtId="169" fontId="28" fillId="0" borderId="52" xfId="1" applyNumberFormat="1" applyFont="1" applyBorder="1"/>
    <xf numFmtId="165" fontId="24" fillId="0" borderId="48" xfId="0" applyNumberFormat="1" applyFont="1" applyBorder="1" applyAlignment="1">
      <alignment horizontal="right" vertical="center" wrapText="1"/>
    </xf>
    <xf numFmtId="169" fontId="6" fillId="6" borderId="0" xfId="1" applyNumberFormat="1" applyFont="1" applyFill="1" applyAlignment="1">
      <alignment horizontal="right" vertical="center" wrapText="1"/>
    </xf>
    <xf numFmtId="169" fontId="28" fillId="0" borderId="0" xfId="1" applyNumberFormat="1" applyFont="1" applyAlignment="1">
      <alignment horizontal="center" vertical="center" wrapText="1"/>
    </xf>
    <xf numFmtId="4" fontId="0" fillId="0" borderId="0" xfId="0" applyNumberFormat="1"/>
    <xf numFmtId="8" fontId="29" fillId="0" borderId="53" xfId="0" applyNumberFormat="1" applyFont="1" applyBorder="1" applyAlignment="1">
      <alignment horizontal="right" vertical="center" wrapText="1"/>
    </xf>
    <xf numFmtId="0" fontId="29" fillId="0" borderId="54" xfId="0" applyFont="1" applyBorder="1" applyAlignment="1">
      <alignment horizontal="left" vertical="center" wrapText="1" indent="1"/>
    </xf>
    <xf numFmtId="8" fontId="25" fillId="0" borderId="53" xfId="0" applyNumberFormat="1" applyFont="1" applyBorder="1" applyAlignment="1">
      <alignment horizontal="right" vertical="center" wrapText="1"/>
    </xf>
    <xf numFmtId="0" fontId="25" fillId="0" borderId="54" xfId="0" applyFont="1" applyBorder="1" applyAlignment="1">
      <alignment horizontal="left" vertical="center" wrapText="1" indent="1"/>
    </xf>
    <xf numFmtId="0" fontId="29" fillId="0" borderId="52" xfId="0" applyFont="1" applyBorder="1" applyAlignment="1">
      <alignment horizontal="right" vertical="center" wrapText="1"/>
    </xf>
    <xf numFmtId="0" fontId="29" fillId="0" borderId="39" xfId="0" applyFont="1" applyBorder="1" applyAlignment="1">
      <alignment horizontal="left" vertical="center" wrapText="1" indent="1"/>
    </xf>
    <xf numFmtId="6" fontId="0" fillId="0" borderId="0" xfId="0" applyNumberFormat="1"/>
    <xf numFmtId="43" fontId="0" fillId="0" borderId="0" xfId="0" applyNumberFormat="1"/>
    <xf numFmtId="43" fontId="0" fillId="0" borderId="55" xfId="0" applyNumberFormat="1" applyBorder="1"/>
    <xf numFmtId="6" fontId="0" fillId="0" borderId="55" xfId="0" applyNumberFormat="1" applyBorder="1"/>
    <xf numFmtId="0" fontId="0" fillId="0" borderId="55" xfId="0" applyBorder="1"/>
    <xf numFmtId="0" fontId="0" fillId="0" borderId="55" xfId="0" applyBorder="1" applyAlignment="1">
      <alignment horizontal="right"/>
    </xf>
    <xf numFmtId="4" fontId="0" fillId="0" borderId="55" xfId="0" applyNumberFormat="1" applyBorder="1" applyAlignment="1">
      <alignment horizontal="right"/>
    </xf>
    <xf numFmtId="0" fontId="26" fillId="0" borderId="0" xfId="0" applyFont="1" applyAlignment="1">
      <alignment vertical="center" wrapText="1"/>
    </xf>
    <xf numFmtId="6" fontId="24" fillId="0" borderId="0" xfId="0" applyNumberFormat="1" applyFont="1" applyAlignment="1">
      <alignment horizontal="right" vertical="center" wrapText="1"/>
    </xf>
    <xf numFmtId="0" fontId="25" fillId="0" borderId="0" xfId="0" applyFont="1" applyAlignment="1">
      <alignment vertical="center" wrapText="1"/>
    </xf>
    <xf numFmtId="0" fontId="26" fillId="0" borderId="56" xfId="0" applyFont="1" applyBorder="1" applyAlignment="1">
      <alignment vertical="center" wrapText="1"/>
    </xf>
    <xf numFmtId="8" fontId="24" fillId="0" borderId="57" xfId="0" applyNumberFormat="1" applyFont="1" applyBorder="1" applyAlignment="1">
      <alignment horizontal="right" vertical="center" wrapText="1"/>
    </xf>
    <xf numFmtId="0" fontId="25" fillId="0" borderId="57" xfId="0" applyFont="1" applyBorder="1" applyAlignment="1">
      <alignment vertical="center" wrapText="1"/>
    </xf>
    <xf numFmtId="0" fontId="9" fillId="0" borderId="0" xfId="0" applyFont="1"/>
    <xf numFmtId="0" fontId="26" fillId="0" borderId="58" xfId="0" applyFont="1" applyBorder="1" applyAlignment="1">
      <alignment vertical="center" wrapText="1"/>
    </xf>
    <xf numFmtId="6" fontId="24" fillId="0" borderId="59" xfId="0" applyNumberFormat="1" applyFont="1" applyBorder="1" applyAlignment="1">
      <alignment horizontal="right" vertical="center" wrapText="1"/>
    </xf>
    <xf numFmtId="0" fontId="25" fillId="0" borderId="60" xfId="0" applyFont="1" applyBorder="1" applyAlignment="1">
      <alignment vertical="center" wrapText="1"/>
    </xf>
    <xf numFmtId="5" fontId="24" fillId="0" borderId="0" xfId="0" applyNumberFormat="1" applyFont="1" applyAlignment="1">
      <alignment horizontal="right" vertical="center" wrapText="1"/>
    </xf>
    <xf numFmtId="0" fontId="26" fillId="0" borderId="61" xfId="0" applyFont="1" applyBorder="1" applyAlignment="1">
      <alignment vertical="center" wrapText="1"/>
    </xf>
    <xf numFmtId="5" fontId="24" fillId="0" borderId="62" xfId="0" applyNumberFormat="1" applyFont="1" applyBorder="1" applyAlignment="1">
      <alignment horizontal="right" vertical="center" wrapText="1"/>
    </xf>
    <xf numFmtId="0" fontId="25" fillId="0" borderId="63" xfId="0" applyFont="1" applyBorder="1" applyAlignment="1">
      <alignment vertical="center" wrapText="1"/>
    </xf>
    <xf numFmtId="5" fontId="26" fillId="0" borderId="0" xfId="0" applyNumberFormat="1" applyFont="1" applyAlignment="1">
      <alignment horizontal="right" vertical="center" wrapText="1"/>
    </xf>
    <xf numFmtId="0" fontId="26" fillId="0" borderId="64" xfId="0" applyFont="1" applyBorder="1" applyAlignment="1">
      <alignment vertical="center" wrapText="1"/>
    </xf>
    <xf numFmtId="0" fontId="25" fillId="0" borderId="65" xfId="0" applyFont="1" applyBorder="1" applyAlignment="1">
      <alignment vertical="center" wrapText="1"/>
    </xf>
    <xf numFmtId="6" fontId="24" fillId="0" borderId="62" xfId="0" applyNumberFormat="1" applyFont="1" applyBorder="1" applyAlignment="1">
      <alignment horizontal="right" vertical="center" wrapText="1"/>
    </xf>
    <xf numFmtId="6" fontId="26" fillId="0" borderId="0" xfId="0" applyNumberFormat="1" applyFont="1" applyAlignment="1">
      <alignment horizontal="right" vertical="center" wrapText="1"/>
    </xf>
    <xf numFmtId="0" fontId="26" fillId="0" borderId="66" xfId="0" applyFont="1" applyBorder="1" applyAlignment="1">
      <alignment vertical="center" wrapText="1"/>
    </xf>
    <xf numFmtId="6" fontId="26" fillId="0" borderId="67" xfId="0" applyNumberFormat="1" applyFont="1" applyBorder="1" applyAlignment="1">
      <alignment horizontal="right" vertical="center" wrapText="1"/>
    </xf>
    <xf numFmtId="0" fontId="25" fillId="0" borderId="68" xfId="0" applyFont="1" applyBorder="1" applyAlignment="1">
      <alignment vertical="center" wrapText="1"/>
    </xf>
    <xf numFmtId="0" fontId="12" fillId="0" borderId="0" xfId="0" applyFont="1" applyAlignment="1">
      <alignment vertical="center" wrapText="1"/>
    </xf>
    <xf numFmtId="0" fontId="12" fillId="0" borderId="61" xfId="0" applyFont="1" applyBorder="1" applyAlignment="1">
      <alignment vertical="center" wrapText="1"/>
    </xf>
    <xf numFmtId="0" fontId="12" fillId="0" borderId="62" xfId="0" applyFont="1" applyBorder="1" applyAlignment="1">
      <alignment vertical="center" wrapText="1"/>
    </xf>
    <xf numFmtId="0" fontId="12" fillId="0" borderId="63" xfId="0" applyFont="1" applyBorder="1" applyAlignment="1">
      <alignment vertical="center" wrapText="1"/>
    </xf>
    <xf numFmtId="171" fontId="0" fillId="0" borderId="0" xfId="0" applyNumberFormat="1"/>
    <xf numFmtId="172" fontId="0" fillId="0" borderId="0" xfId="0" applyNumberFormat="1"/>
    <xf numFmtId="173" fontId="26" fillId="0" borderId="67" xfId="0" applyNumberFormat="1" applyFont="1" applyBorder="1" applyAlignment="1">
      <alignment vertical="center" wrapText="1"/>
    </xf>
    <xf numFmtId="174" fontId="0" fillId="0" borderId="0" xfId="0" applyNumberFormat="1"/>
    <xf numFmtId="5" fontId="26" fillId="5" borderId="0" xfId="0" applyNumberFormat="1" applyFont="1" applyFill="1" applyAlignment="1">
      <alignment horizontal="right" vertical="center" wrapText="1"/>
    </xf>
    <xf numFmtId="175" fontId="0" fillId="0" borderId="0" xfId="0" applyNumberFormat="1"/>
    <xf numFmtId="8" fontId="24" fillId="0" borderId="59" xfId="0" applyNumberFormat="1" applyFont="1" applyBorder="1" applyAlignment="1">
      <alignment horizontal="right" vertical="center" wrapText="1"/>
    </xf>
    <xf numFmtId="8" fontId="24" fillId="0" borderId="62" xfId="0" applyNumberFormat="1" applyFont="1" applyBorder="1" applyAlignment="1">
      <alignment horizontal="right" vertical="center" wrapText="1"/>
    </xf>
    <xf numFmtId="8" fontId="26" fillId="0" borderId="0" xfId="0" applyNumberFormat="1" applyFont="1" applyAlignment="1">
      <alignment horizontal="right" vertical="center" wrapText="1"/>
    </xf>
    <xf numFmtId="43" fontId="25" fillId="0" borderId="0" xfId="0" applyNumberFormat="1" applyFont="1" applyAlignment="1">
      <alignment vertical="center" wrapText="1"/>
    </xf>
    <xf numFmtId="6" fontId="26" fillId="0" borderId="0" xfId="1" applyNumberFormat="1" applyFont="1" applyAlignment="1">
      <alignment vertical="center" wrapText="1"/>
    </xf>
    <xf numFmtId="8" fontId="26" fillId="0" borderId="67" xfId="0" applyNumberFormat="1" applyFont="1" applyBorder="1" applyAlignment="1">
      <alignment horizontal="right" vertical="center" wrapText="1"/>
    </xf>
    <xf numFmtId="0" fontId="9" fillId="0" borderId="0" xfId="0" applyFont="1" applyAlignment="1">
      <alignment vertical="center"/>
    </xf>
    <xf numFmtId="173" fontId="0" fillId="0" borderId="0" xfId="0" applyNumberFormat="1"/>
    <xf numFmtId="0" fontId="3" fillId="0" borderId="26" xfId="0" applyFont="1" applyBorder="1" applyAlignment="1">
      <alignment vertical="center" wrapText="1"/>
    </xf>
    <xf numFmtId="3" fontId="3" fillId="0" borderId="26" xfId="0" applyNumberFormat="1" applyFont="1" applyBorder="1" applyAlignment="1">
      <alignment horizontal="right" vertical="center" wrapText="1"/>
    </xf>
    <xf numFmtId="3" fontId="0" fillId="0" borderId="0" xfId="0" applyNumberFormat="1" applyAlignment="1">
      <alignment horizontal="right" wrapText="1"/>
    </xf>
    <xf numFmtId="0" fontId="0" fillId="0" borderId="0" xfId="0" applyAlignment="1">
      <alignment vertical="center" wrapText="1"/>
    </xf>
    <xf numFmtId="3" fontId="0" fillId="0" borderId="0" xfId="0" applyNumberFormat="1" applyAlignment="1">
      <alignment vertical="center" wrapText="1"/>
    </xf>
    <xf numFmtId="6" fontId="26" fillId="0" borderId="0" xfId="0" applyNumberFormat="1" applyFont="1" applyAlignment="1">
      <alignment vertical="center" wrapText="1"/>
    </xf>
    <xf numFmtId="176" fontId="26" fillId="0" borderId="0" xfId="0" applyNumberFormat="1" applyFont="1" applyAlignment="1">
      <alignment vertical="center" wrapText="1"/>
    </xf>
    <xf numFmtId="8" fontId="0" fillId="0" borderId="0" xfId="0" applyNumberFormat="1" applyAlignment="1">
      <alignment wrapText="1"/>
    </xf>
    <xf numFmtId="6" fontId="0" fillId="0" borderId="0" xfId="0" applyNumberFormat="1" applyAlignment="1">
      <alignment wrapText="1"/>
    </xf>
    <xf numFmtId="173" fontId="26" fillId="0" borderId="0" xfId="0" applyNumberFormat="1" applyFont="1" applyAlignment="1">
      <alignment vertical="center" wrapText="1"/>
    </xf>
    <xf numFmtId="7" fontId="24" fillId="0" borderId="62" xfId="0" applyNumberFormat="1" applyFont="1" applyBorder="1" applyAlignment="1">
      <alignment horizontal="right" vertical="center" wrapText="1"/>
    </xf>
    <xf numFmtId="8" fontId="25" fillId="0" borderId="0" xfId="0" applyNumberFormat="1" applyFont="1" applyAlignment="1">
      <alignment horizontal="right" vertical="center"/>
    </xf>
    <xf numFmtId="5" fontId="25" fillId="0" borderId="0" xfId="0" applyNumberFormat="1" applyFont="1" applyAlignment="1">
      <alignment horizontal="right" vertical="center"/>
    </xf>
    <xf numFmtId="3" fontId="3" fillId="0" borderId="26" xfId="0" applyNumberFormat="1" applyFont="1" applyBorder="1"/>
    <xf numFmtId="0" fontId="3" fillId="0" borderId="26" xfId="0" applyFont="1" applyBorder="1" applyAlignment="1">
      <alignment wrapText="1"/>
    </xf>
    <xf numFmtId="6" fontId="26" fillId="6" borderId="67" xfId="0" applyNumberFormat="1" applyFont="1" applyFill="1" applyBorder="1" applyAlignment="1">
      <alignment horizontal="right" vertical="center" wrapText="1"/>
    </xf>
    <xf numFmtId="0" fontId="0" fillId="0" borderId="0" xfId="0" applyAlignment="1">
      <alignment horizontal="right"/>
    </xf>
    <xf numFmtId="6" fontId="26" fillId="6" borderId="45" xfId="0" applyNumberFormat="1" applyFont="1" applyFill="1" applyBorder="1" applyAlignment="1">
      <alignment vertical="center" wrapText="1"/>
    </xf>
    <xf numFmtId="5" fontId="26" fillId="6" borderId="45" xfId="0" applyNumberFormat="1" applyFont="1" applyFill="1" applyBorder="1" applyAlignment="1">
      <alignment vertical="center" wrapText="1"/>
    </xf>
    <xf numFmtId="5" fontId="24" fillId="6" borderId="40" xfId="0" applyNumberFormat="1" applyFont="1" applyFill="1" applyBorder="1" applyAlignment="1">
      <alignment vertical="center" wrapText="1"/>
    </xf>
    <xf numFmtId="8" fontId="24" fillId="6" borderId="48" xfId="0" applyNumberFormat="1" applyFont="1" applyFill="1" applyBorder="1" applyAlignment="1">
      <alignment horizontal="right" vertical="center" wrapText="1"/>
    </xf>
    <xf numFmtId="4" fontId="24" fillId="6" borderId="48" xfId="0" applyNumberFormat="1" applyFont="1" applyFill="1" applyBorder="1" applyAlignment="1">
      <alignment horizontal="right" vertical="center" wrapText="1"/>
    </xf>
    <xf numFmtId="7" fontId="24" fillId="0" borderId="40" xfId="0" applyNumberFormat="1" applyFont="1" applyBorder="1" applyAlignment="1">
      <alignment vertical="center" wrapText="1"/>
    </xf>
    <xf numFmtId="7" fontId="31" fillId="0" borderId="0" xfId="0" applyNumberFormat="1" applyFont="1"/>
    <xf numFmtId="5" fontId="26" fillId="5" borderId="48" xfId="0" applyNumberFormat="1" applyFont="1" applyFill="1" applyBorder="1" applyAlignment="1">
      <alignment horizontal="right" vertical="center" wrapText="1"/>
    </xf>
    <xf numFmtId="5" fontId="0" fillId="0" borderId="0" xfId="0" applyNumberFormat="1"/>
    <xf numFmtId="0" fontId="10" fillId="6" borderId="72" xfId="0" applyFont="1" applyFill="1" applyBorder="1"/>
    <xf numFmtId="0" fontId="0" fillId="6" borderId="73" xfId="0" applyFill="1" applyBorder="1" applyAlignment="1">
      <alignment horizontal="right"/>
    </xf>
    <xf numFmtId="0" fontId="0" fillId="6" borderId="72" xfId="0" applyFill="1" applyBorder="1" applyAlignment="1">
      <alignment horizontal="center" vertical="center"/>
    </xf>
    <xf numFmtId="0" fontId="10" fillId="6" borderId="74" xfId="0" applyFont="1" applyFill="1" applyBorder="1" applyAlignment="1">
      <alignment horizontal="left" vertical="center"/>
    </xf>
    <xf numFmtId="0" fontId="3" fillId="6" borderId="75" xfId="0" applyFont="1" applyFill="1" applyBorder="1" applyAlignment="1">
      <alignment horizontal="center" vertical="center"/>
    </xf>
    <xf numFmtId="164" fontId="3" fillId="6" borderId="75" xfId="0" applyNumberFormat="1" applyFont="1" applyFill="1" applyBorder="1" applyAlignment="1">
      <alignment horizontal="center" vertical="center"/>
    </xf>
    <xf numFmtId="164" fontId="3" fillId="6" borderId="74" xfId="0" applyNumberFormat="1" applyFont="1" applyFill="1" applyBorder="1" applyAlignment="1">
      <alignment horizontal="center" vertical="center"/>
    </xf>
    <xf numFmtId="164" fontId="3" fillId="6" borderId="74" xfId="0" applyNumberFormat="1" applyFont="1" applyFill="1" applyBorder="1" applyAlignment="1">
      <alignment horizontal="center" vertical="center" wrapText="1"/>
    </xf>
    <xf numFmtId="0" fontId="3" fillId="6" borderId="74" xfId="0" applyFont="1" applyFill="1" applyBorder="1" applyAlignment="1">
      <alignment horizontal="center" vertical="center" wrapText="1"/>
    </xf>
    <xf numFmtId="0" fontId="3" fillId="6" borderId="75" xfId="0" applyFont="1" applyFill="1" applyBorder="1" applyAlignment="1">
      <alignment horizontal="center" vertical="center" wrapText="1"/>
    </xf>
    <xf numFmtId="164" fontId="3" fillId="6" borderId="75" xfId="0" applyNumberFormat="1" applyFont="1" applyFill="1" applyBorder="1" applyAlignment="1">
      <alignment horizontal="center" vertical="center" wrapText="1"/>
    </xf>
    <xf numFmtId="0" fontId="3" fillId="6" borderId="76" xfId="0" applyFont="1" applyFill="1" applyBorder="1" applyAlignment="1">
      <alignment horizontal="center" vertical="center" wrapText="1"/>
    </xf>
    <xf numFmtId="0" fontId="3" fillId="6" borderId="77" xfId="0" applyFont="1" applyFill="1" applyBorder="1" applyAlignment="1">
      <alignment horizontal="center" vertical="center" wrapText="1"/>
    </xf>
    <xf numFmtId="164" fontId="3" fillId="6" borderId="77" xfId="0" applyNumberFormat="1" applyFont="1" applyFill="1" applyBorder="1" applyAlignment="1">
      <alignment horizontal="center" vertical="center"/>
    </xf>
    <xf numFmtId="164" fontId="3" fillId="6" borderId="76" xfId="0" applyNumberFormat="1" applyFont="1" applyFill="1" applyBorder="1" applyAlignment="1">
      <alignment horizontal="center" vertical="center"/>
    </xf>
    <xf numFmtId="0" fontId="0" fillId="10" borderId="74" xfId="0" applyFill="1" applyBorder="1"/>
    <xf numFmtId="43" fontId="0" fillId="10" borderId="74" xfId="1" applyFont="1" applyFill="1" applyBorder="1"/>
    <xf numFmtId="0" fontId="32" fillId="6" borderId="0" xfId="0" applyFont="1" applyFill="1" applyAlignment="1">
      <alignment vertical="center"/>
    </xf>
    <xf numFmtId="164" fontId="32" fillId="6" borderId="0" xfId="0" applyNumberFormat="1" applyFont="1" applyFill="1" applyAlignment="1">
      <alignment horizontal="right" vertical="center" wrapText="1"/>
    </xf>
    <xf numFmtId="164" fontId="32" fillId="3" borderId="0" xfId="0" applyNumberFormat="1" applyFont="1" applyFill="1" applyAlignment="1">
      <alignment horizontal="right" vertical="center" wrapText="1"/>
    </xf>
    <xf numFmtId="0" fontId="42" fillId="6" borderId="0" xfId="0" applyFont="1" applyFill="1" applyAlignment="1">
      <alignment vertical="center"/>
    </xf>
    <xf numFmtId="164" fontId="42" fillId="3" borderId="0" xfId="0" applyNumberFormat="1" applyFont="1" applyFill="1" applyAlignment="1">
      <alignment horizontal="right" vertical="center" wrapText="1"/>
    </xf>
    <xf numFmtId="164" fontId="42" fillId="2" borderId="0" xfId="0" applyNumberFormat="1" applyFont="1" applyFill="1" applyAlignment="1">
      <alignment horizontal="left" vertical="center"/>
    </xf>
    <xf numFmtId="0" fontId="42" fillId="0" borderId="0" xfId="0" applyFont="1"/>
    <xf numFmtId="164" fontId="32" fillId="2" borderId="0" xfId="0" applyNumberFormat="1" applyFont="1" applyFill="1" applyAlignment="1">
      <alignment horizontal="right" vertical="center" wrapText="1"/>
    </xf>
    <xf numFmtId="164" fontId="32" fillId="0" borderId="0" xfId="0" applyNumberFormat="1" applyFont="1" applyFill="1" applyAlignment="1">
      <alignment horizontal="right" vertical="center" wrapText="1"/>
    </xf>
    <xf numFmtId="164" fontId="32" fillId="0" borderId="0" xfId="0" applyNumberFormat="1" applyFont="1" applyFill="1" applyAlignment="1">
      <alignment vertical="center" wrapText="1"/>
    </xf>
    <xf numFmtId="164" fontId="32" fillId="2" borderId="5" xfId="0" applyNumberFormat="1" applyFont="1" applyFill="1" applyBorder="1" applyAlignment="1">
      <alignment vertical="center" wrapText="1"/>
    </xf>
    <xf numFmtId="164" fontId="32" fillId="2" borderId="0" xfId="0" applyNumberFormat="1" applyFont="1" applyFill="1" applyAlignment="1">
      <alignment vertical="center" wrapText="1"/>
    </xf>
    <xf numFmtId="164" fontId="42" fillId="2" borderId="0" xfId="0" applyNumberFormat="1" applyFont="1" applyFill="1" applyAlignment="1">
      <alignment vertical="top" wrapText="1"/>
    </xf>
    <xf numFmtId="164" fontId="42" fillId="2" borderId="8" xfId="0" applyNumberFormat="1" applyFont="1" applyFill="1" applyBorder="1" applyAlignment="1">
      <alignment vertical="top" wrapText="1"/>
    </xf>
    <xf numFmtId="164" fontId="32" fillId="2" borderId="8" xfId="0" applyNumberFormat="1" applyFont="1" applyFill="1" applyBorder="1" applyAlignment="1">
      <alignment horizontal="right" vertical="center" wrapText="1"/>
    </xf>
    <xf numFmtId="164" fontId="32" fillId="3" borderId="8" xfId="0" applyNumberFormat="1" applyFont="1" applyFill="1" applyBorder="1" applyAlignment="1">
      <alignment horizontal="right" vertical="center" wrapText="1"/>
    </xf>
    <xf numFmtId="164" fontId="44" fillId="0" borderId="0" xfId="0" applyNumberFormat="1" applyFont="1" applyAlignment="1">
      <alignment vertical="center" wrapText="1"/>
    </xf>
    <xf numFmtId="164" fontId="42" fillId="0" borderId="0" xfId="0" applyNumberFormat="1" applyFont="1" applyAlignment="1">
      <alignment horizontal="right" vertical="center" wrapText="1"/>
    </xf>
    <xf numFmtId="164" fontId="42" fillId="3" borderId="0" xfId="0" applyNumberFormat="1" applyFont="1" applyFill="1" applyAlignment="1">
      <alignment horizontal="right" wrapText="1"/>
    </xf>
    <xf numFmtId="164" fontId="42" fillId="0" borderId="0" xfId="0" applyNumberFormat="1" applyFont="1" applyAlignment="1">
      <alignment vertical="center" wrapText="1"/>
    </xf>
    <xf numFmtId="164" fontId="42" fillId="0" borderId="0" xfId="0" applyNumberFormat="1" applyFont="1" applyAlignment="1">
      <alignment horizontal="right" wrapText="1"/>
    </xf>
    <xf numFmtId="164" fontId="42" fillId="0" borderId="0" xfId="0" applyNumberFormat="1" applyFont="1" applyFill="1" applyAlignment="1">
      <alignment vertical="center" wrapText="1"/>
    </xf>
    <xf numFmtId="164" fontId="42" fillId="0" borderId="8" xfId="0" applyNumberFormat="1" applyFont="1" applyBorder="1" applyAlignment="1">
      <alignment horizontal="right" wrapText="1"/>
    </xf>
    <xf numFmtId="164" fontId="42" fillId="3" borderId="8" xfId="0" applyNumberFormat="1" applyFont="1" applyFill="1" applyBorder="1" applyAlignment="1">
      <alignment horizontal="right" wrapText="1"/>
    </xf>
    <xf numFmtId="164" fontId="42" fillId="6" borderId="8" xfId="0" applyNumberFormat="1" applyFont="1" applyFill="1" applyBorder="1" applyAlignment="1">
      <alignment horizontal="right" wrapText="1"/>
    </xf>
    <xf numFmtId="164" fontId="32" fillId="0" borderId="10" xfId="0" applyNumberFormat="1" applyFont="1" applyFill="1" applyBorder="1" applyAlignment="1">
      <alignment vertical="center" wrapText="1"/>
    </xf>
    <xf numFmtId="164" fontId="32" fillId="2" borderId="8" xfId="0" applyNumberFormat="1" applyFont="1" applyFill="1" applyBorder="1" applyAlignment="1">
      <alignment horizontal="right" wrapText="1"/>
    </xf>
    <xf numFmtId="164" fontId="32" fillId="3" borderId="8" xfId="0" applyNumberFormat="1" applyFont="1" applyFill="1" applyBorder="1" applyAlignment="1">
      <alignment horizontal="right" wrapText="1"/>
    </xf>
    <xf numFmtId="164" fontId="42" fillId="4" borderId="0" xfId="0" applyNumberFormat="1" applyFont="1" applyFill="1" applyAlignment="1">
      <alignment horizontal="right" wrapText="1"/>
    </xf>
    <xf numFmtId="164" fontId="32" fillId="2" borderId="10" xfId="0" applyNumberFormat="1" applyFont="1" applyFill="1" applyBorder="1" applyAlignment="1">
      <alignment horizontal="right" wrapText="1"/>
    </xf>
    <xf numFmtId="164" fontId="32" fillId="4" borderId="10" xfId="0" applyNumberFormat="1" applyFont="1" applyFill="1" applyBorder="1" applyAlignment="1">
      <alignment horizontal="right" wrapText="1"/>
    </xf>
    <xf numFmtId="164" fontId="42" fillId="0" borderId="8" xfId="0" applyNumberFormat="1" applyFont="1" applyFill="1" applyBorder="1" applyAlignment="1">
      <alignment vertical="center" wrapText="1"/>
    </xf>
    <xf numFmtId="164" fontId="32" fillId="0" borderId="8" xfId="0" applyNumberFormat="1" applyFont="1" applyFill="1" applyBorder="1" applyAlignment="1">
      <alignment vertical="center" wrapText="1"/>
    </xf>
    <xf numFmtId="164" fontId="32" fillId="4" borderId="8" xfId="0" applyNumberFormat="1" applyFont="1" applyFill="1" applyBorder="1" applyAlignment="1">
      <alignment horizontal="right" wrapText="1"/>
    </xf>
    <xf numFmtId="164" fontId="42" fillId="0" borderId="5" xfId="0" applyNumberFormat="1" applyFont="1" applyFill="1" applyBorder="1" applyAlignment="1">
      <alignment vertical="center" wrapText="1"/>
    </xf>
    <xf numFmtId="164" fontId="42" fillId="0" borderId="5" xfId="0" applyNumberFormat="1" applyFont="1" applyBorder="1" applyAlignment="1">
      <alignment horizontal="right" wrapText="1"/>
    </xf>
    <xf numFmtId="164" fontId="42" fillId="3" borderId="5" xfId="0" applyNumberFormat="1" applyFont="1" applyFill="1" applyBorder="1" applyAlignment="1">
      <alignment horizontal="right" wrapText="1"/>
    </xf>
    <xf numFmtId="164" fontId="42" fillId="0" borderId="15" xfId="0" applyNumberFormat="1" applyFont="1" applyFill="1" applyBorder="1" applyAlignment="1">
      <alignment vertical="center" wrapText="1"/>
    </xf>
    <xf numFmtId="164" fontId="42" fillId="0" borderId="29" xfId="0" applyNumberFormat="1" applyFont="1" applyBorder="1" applyAlignment="1">
      <alignment horizontal="right" wrapText="1"/>
    </xf>
    <xf numFmtId="164" fontId="42" fillId="0" borderId="7" xfId="0" applyNumberFormat="1" applyFont="1" applyFill="1" applyBorder="1" applyAlignment="1">
      <alignment vertical="center" wrapText="1"/>
    </xf>
    <xf numFmtId="164" fontId="42" fillId="0" borderId="78" xfId="0" applyNumberFormat="1" applyFont="1" applyBorder="1" applyAlignment="1">
      <alignment horizontal="right" wrapText="1"/>
    </xf>
    <xf numFmtId="164" fontId="42" fillId="0" borderId="27" xfId="0" applyNumberFormat="1" applyFont="1" applyFill="1" applyBorder="1" applyAlignment="1">
      <alignment vertical="center" wrapText="1"/>
    </xf>
    <xf numFmtId="164" fontId="42" fillId="0" borderId="28" xfId="0" applyNumberFormat="1" applyFont="1" applyBorder="1" applyAlignment="1">
      <alignment horizontal="right" wrapText="1"/>
    </xf>
    <xf numFmtId="164" fontId="32" fillId="0" borderId="4" xfId="0" applyNumberFormat="1" applyFont="1" applyFill="1" applyBorder="1" applyAlignment="1">
      <alignment vertical="center" wrapText="1"/>
    </xf>
    <xf numFmtId="164" fontId="44" fillId="0" borderId="0" xfId="0" applyNumberFormat="1" applyFont="1" applyFill="1"/>
    <xf numFmtId="164" fontId="44" fillId="0" borderId="0" xfId="0" applyNumberFormat="1" applyFont="1"/>
    <xf numFmtId="164" fontId="32" fillId="2" borderId="10" xfId="0" applyNumberFormat="1" applyFont="1" applyFill="1" applyBorder="1" applyAlignment="1">
      <alignment vertical="center" wrapText="1"/>
    </xf>
    <xf numFmtId="164" fontId="32" fillId="3" borderId="10" xfId="0" applyNumberFormat="1" applyFont="1" applyFill="1" applyBorder="1" applyAlignment="1">
      <alignment horizontal="right" vertical="center" wrapText="1"/>
    </xf>
    <xf numFmtId="164" fontId="32" fillId="2" borderId="1" xfId="0" applyNumberFormat="1" applyFont="1" applyFill="1" applyBorder="1" applyAlignment="1">
      <alignment vertical="center" wrapText="1"/>
    </xf>
    <xf numFmtId="164" fontId="32" fillId="3" borderId="13" xfId="0" applyNumberFormat="1" applyFont="1" applyFill="1" applyBorder="1" applyAlignment="1">
      <alignment horizontal="right" vertical="center" wrapText="1"/>
    </xf>
    <xf numFmtId="164" fontId="32" fillId="0" borderId="21" xfId="0" applyNumberFormat="1" applyFont="1" applyBorder="1" applyAlignment="1">
      <alignment horizontal="right" vertical="center" wrapText="1"/>
    </xf>
    <xf numFmtId="164" fontId="32" fillId="3" borderId="21" xfId="0" applyNumberFormat="1" applyFont="1" applyFill="1" applyBorder="1" applyAlignment="1">
      <alignment horizontal="right" vertical="center" wrapText="1"/>
    </xf>
    <xf numFmtId="164" fontId="32" fillId="0" borderId="22" xfId="0" applyNumberFormat="1" applyFont="1" applyBorder="1" applyAlignment="1">
      <alignment horizontal="right" vertical="center" wrapText="1"/>
    </xf>
    <xf numFmtId="164" fontId="32" fillId="3" borderId="22" xfId="0" applyNumberFormat="1" applyFont="1" applyFill="1" applyBorder="1" applyAlignment="1">
      <alignment horizontal="right" vertical="center" wrapText="1"/>
    </xf>
    <xf numFmtId="164" fontId="42" fillId="0" borderId="3" xfId="0" applyNumberFormat="1" applyFont="1" applyBorder="1" applyAlignment="1">
      <alignment vertical="center" wrapText="1"/>
    </xf>
    <xf numFmtId="164" fontId="44" fillId="0" borderId="3" xfId="0" applyNumberFormat="1" applyFont="1" applyBorder="1" applyAlignment="1">
      <alignment vertical="center" wrapText="1"/>
    </xf>
    <xf numFmtId="164" fontId="42" fillId="0" borderId="4" xfId="0" applyNumberFormat="1" applyFont="1" applyBorder="1" applyAlignment="1">
      <alignment vertical="center" wrapText="1"/>
    </xf>
    <xf numFmtId="164" fontId="42" fillId="0" borderId="8" xfId="0" applyNumberFormat="1" applyFont="1" applyBorder="1" applyAlignment="1">
      <alignment horizontal="right" vertical="center" wrapText="1"/>
    </xf>
    <xf numFmtId="164" fontId="42" fillId="3" borderId="8" xfId="0" applyNumberFormat="1" applyFont="1" applyFill="1" applyBorder="1" applyAlignment="1">
      <alignment horizontal="right" vertical="center" wrapText="1"/>
    </xf>
    <xf numFmtId="164" fontId="32" fillId="0" borderId="8" xfId="0" applyNumberFormat="1" applyFont="1" applyBorder="1" applyAlignment="1">
      <alignment vertical="center" wrapText="1"/>
    </xf>
    <xf numFmtId="164" fontId="32" fillId="0" borderId="8" xfId="0" applyNumberFormat="1" applyFont="1" applyBorder="1" applyAlignment="1">
      <alignment horizontal="right" vertical="center" wrapText="1"/>
    </xf>
    <xf numFmtId="164" fontId="32" fillId="2" borderId="0" xfId="0" applyNumberFormat="1" applyFont="1" applyFill="1" applyAlignment="1">
      <alignment horizontal="left" vertical="center"/>
    </xf>
    <xf numFmtId="164" fontId="42" fillId="0" borderId="0" xfId="0" applyNumberFormat="1" applyFont="1"/>
    <xf numFmtId="164" fontId="42" fillId="0" borderId="8" xfId="0" applyNumberFormat="1" applyFont="1" applyBorder="1" applyAlignment="1">
      <alignment wrapText="1"/>
    </xf>
    <xf numFmtId="164" fontId="42" fillId="3" borderId="8" xfId="0" applyNumberFormat="1" applyFont="1" applyFill="1" applyBorder="1" applyAlignment="1">
      <alignment wrapText="1"/>
    </xf>
    <xf numFmtId="164" fontId="32" fillId="0" borderId="8" xfId="0" applyNumberFormat="1" applyFont="1" applyBorder="1" applyAlignment="1">
      <alignment wrapText="1"/>
    </xf>
    <xf numFmtId="164" fontId="32" fillId="3" borderId="8" xfId="0" applyNumberFormat="1" applyFont="1" applyFill="1" applyBorder="1" applyAlignment="1">
      <alignment wrapText="1"/>
    </xf>
    <xf numFmtId="164" fontId="42" fillId="0" borderId="0" xfId="0" applyNumberFormat="1" applyFont="1" applyBorder="1" applyAlignment="1">
      <alignment vertical="center" wrapText="1"/>
    </xf>
    <xf numFmtId="164" fontId="32" fillId="2" borderId="5" xfId="0" applyNumberFormat="1" applyFont="1" applyFill="1" applyBorder="1" applyAlignment="1">
      <alignment horizontal="right" vertical="center" wrapText="1"/>
    </xf>
    <xf numFmtId="164" fontId="32" fillId="3" borderId="5" xfId="0" applyNumberFormat="1" applyFont="1" applyFill="1" applyBorder="1" applyAlignment="1">
      <alignment horizontal="right" vertical="center" wrapText="1"/>
    </xf>
    <xf numFmtId="164" fontId="42" fillId="0" borderId="14" xfId="0" applyNumberFormat="1" applyFont="1" applyBorder="1" applyAlignment="1">
      <alignment vertical="center" wrapText="1"/>
    </xf>
    <xf numFmtId="164" fontId="32" fillId="0" borderId="17" xfId="0" applyNumberFormat="1" applyFont="1" applyBorder="1" applyAlignment="1">
      <alignment vertical="center" wrapText="1"/>
    </xf>
    <xf numFmtId="164" fontId="32" fillId="2" borderId="4" xfId="0" applyNumberFormat="1" applyFont="1" applyFill="1" applyBorder="1" applyAlignment="1">
      <alignment vertical="center" wrapText="1"/>
    </xf>
    <xf numFmtId="164" fontId="42" fillId="2" borderId="3" xfId="0" applyNumberFormat="1" applyFont="1" applyFill="1" applyBorder="1" applyAlignment="1">
      <alignment vertical="center" wrapText="1"/>
    </xf>
    <xf numFmtId="164" fontId="32" fillId="2" borderId="2" xfId="0" applyNumberFormat="1" applyFont="1" applyFill="1" applyBorder="1" applyAlignment="1">
      <alignment vertical="center" wrapText="1"/>
    </xf>
    <xf numFmtId="164" fontId="32" fillId="2" borderId="3" xfId="0" applyNumberFormat="1" applyFont="1" applyFill="1" applyBorder="1" applyAlignment="1">
      <alignment vertical="center" wrapText="1"/>
    </xf>
    <xf numFmtId="164" fontId="44" fillId="2" borderId="3" xfId="0" applyNumberFormat="1" applyFont="1" applyFill="1" applyBorder="1" applyAlignment="1">
      <alignment vertical="center" wrapText="1"/>
    </xf>
    <xf numFmtId="164" fontId="42" fillId="6" borderId="3" xfId="0" applyNumberFormat="1" applyFont="1" applyFill="1" applyBorder="1" applyAlignment="1">
      <alignment vertical="center" wrapText="1"/>
    </xf>
    <xf numFmtId="164" fontId="42" fillId="2" borderId="0" xfId="0" applyNumberFormat="1" applyFont="1" applyFill="1" applyAlignment="1">
      <alignment horizontal="right" vertical="center" wrapText="1"/>
    </xf>
    <xf numFmtId="164" fontId="42" fillId="6" borderId="0" xfId="0" applyNumberFormat="1" applyFont="1" applyFill="1" applyAlignment="1">
      <alignment vertical="center" wrapText="1"/>
    </xf>
    <xf numFmtId="164" fontId="44" fillId="6" borderId="0" xfId="0" applyNumberFormat="1" applyFont="1" applyFill="1" applyAlignment="1">
      <alignment vertical="center" wrapText="1"/>
    </xf>
    <xf numFmtId="164" fontId="42" fillId="6" borderId="8" xfId="0" applyNumberFormat="1" applyFont="1" applyFill="1" applyBorder="1" applyAlignment="1">
      <alignment vertical="center" wrapText="1"/>
    </xf>
    <xf numFmtId="164" fontId="32" fillId="6" borderId="1" xfId="0" applyNumberFormat="1" applyFont="1" applyFill="1" applyBorder="1" applyAlignment="1">
      <alignment vertical="center" wrapText="1"/>
    </xf>
    <xf numFmtId="164" fontId="32" fillId="3" borderId="18" xfId="0" applyNumberFormat="1" applyFont="1" applyFill="1" applyBorder="1" applyAlignment="1">
      <alignment horizontal="right" vertical="center" wrapText="1"/>
    </xf>
    <xf numFmtId="164" fontId="32" fillId="0" borderId="0" xfId="0" applyNumberFormat="1" applyFont="1"/>
    <xf numFmtId="164" fontId="32" fillId="0" borderId="5" xfId="0" applyNumberFormat="1" applyFont="1" applyBorder="1" applyAlignment="1">
      <alignment horizontal="right" vertical="center" wrapText="1"/>
    </xf>
    <xf numFmtId="164" fontId="32" fillId="0" borderId="0" xfId="0" applyNumberFormat="1" applyFont="1" applyAlignment="1">
      <alignment horizontal="right" vertical="center" wrapText="1"/>
    </xf>
    <xf numFmtId="164" fontId="42" fillId="0" borderId="0" xfId="0" applyNumberFormat="1" applyFont="1" applyFill="1" applyAlignment="1">
      <alignment horizontal="left" vertical="center"/>
    </xf>
    <xf numFmtId="164" fontId="42" fillId="0" borderId="0" xfId="0" applyNumberFormat="1" applyFont="1" applyAlignment="1">
      <alignment horizontal="left" vertical="center"/>
    </xf>
    <xf numFmtId="164" fontId="32" fillId="0" borderId="10" xfId="0" applyNumberFormat="1" applyFont="1" applyBorder="1" applyAlignment="1">
      <alignment horizontal="right" vertical="center" wrapText="1"/>
    </xf>
    <xf numFmtId="164" fontId="32" fillId="2" borderId="10" xfId="0" applyNumberFormat="1" applyFont="1" applyFill="1" applyBorder="1" applyAlignment="1">
      <alignment horizontal="right" vertical="center" wrapText="1"/>
    </xf>
    <xf numFmtId="164" fontId="32" fillId="2" borderId="21" xfId="0" applyNumberFormat="1" applyFont="1" applyFill="1" applyBorder="1" applyAlignment="1">
      <alignment horizontal="right" vertical="center" wrapText="1"/>
    </xf>
    <xf numFmtId="164" fontId="32" fillId="2" borderId="22" xfId="0" applyNumberFormat="1" applyFont="1" applyFill="1" applyBorder="1" applyAlignment="1">
      <alignment horizontal="right" vertical="center" wrapText="1"/>
    </xf>
    <xf numFmtId="164" fontId="42" fillId="0" borderId="20" xfId="0" applyNumberFormat="1" applyFont="1" applyBorder="1" applyAlignment="1">
      <alignment vertical="center" wrapText="1"/>
    </xf>
    <xf numFmtId="164" fontId="42" fillId="3" borderId="22" xfId="0" applyNumberFormat="1" applyFont="1" applyFill="1" applyBorder="1" applyAlignment="1">
      <alignment horizontal="right" vertical="center" wrapText="1"/>
    </xf>
    <xf numFmtId="164" fontId="42" fillId="0" borderId="22" xfId="0" applyNumberFormat="1" applyFont="1" applyBorder="1" applyAlignment="1">
      <alignment horizontal="right" vertical="center" wrapText="1"/>
    </xf>
    <xf numFmtId="164" fontId="32" fillId="2" borderId="20" xfId="0" applyNumberFormat="1" applyFont="1" applyFill="1" applyBorder="1" applyAlignment="1">
      <alignment vertical="center" wrapText="1"/>
    </xf>
    <xf numFmtId="0" fontId="32" fillId="2" borderId="0" xfId="0" applyFont="1" applyFill="1" applyAlignment="1">
      <alignment horizontal="right" vertical="center" wrapText="1"/>
    </xf>
    <xf numFmtId="0" fontId="32" fillId="3" borderId="0" xfId="0" applyFont="1" applyFill="1" applyAlignment="1">
      <alignment horizontal="right" vertical="center" wrapText="1"/>
    </xf>
    <xf numFmtId="164" fontId="42" fillId="2" borderId="0" xfId="0" applyNumberFormat="1" applyFont="1" applyFill="1" applyAlignment="1">
      <alignment horizontal="left" vertical="center" wrapText="1"/>
    </xf>
    <xf numFmtId="167" fontId="32" fillId="6" borderId="71" xfId="1" applyNumberFormat="1" applyFont="1" applyFill="1" applyBorder="1" applyAlignment="1">
      <alignment vertical="center"/>
    </xf>
    <xf numFmtId="164" fontId="44" fillId="6" borderId="0" xfId="0" applyNumberFormat="1" applyFont="1" applyFill="1"/>
    <xf numFmtId="164" fontId="42" fillId="6" borderId="0" xfId="0" applyNumberFormat="1" applyFont="1" applyFill="1" applyAlignment="1">
      <alignment horizontal="centerContinuous"/>
    </xf>
    <xf numFmtId="164" fontId="42" fillId="0" borderId="0" xfId="0" applyNumberFormat="1" applyFont="1" applyFill="1"/>
    <xf numFmtId="164" fontId="42" fillId="6" borderId="0" xfId="0" applyNumberFormat="1" applyFont="1" applyFill="1"/>
    <xf numFmtId="0" fontId="42" fillId="6" borderId="0" xfId="0" applyFont="1" applyFill="1" applyAlignment="1">
      <alignment horizontal="centerContinuous"/>
    </xf>
    <xf numFmtId="164" fontId="46" fillId="5" borderId="0" xfId="0" applyNumberFormat="1" applyFont="1" applyFill="1"/>
    <xf numFmtId="164" fontId="42" fillId="5" borderId="0" xfId="0" applyNumberFormat="1" applyFont="1" applyFill="1"/>
    <xf numFmtId="164" fontId="32" fillId="0" borderId="0" xfId="0" applyNumberFormat="1" applyFont="1" applyAlignment="1">
      <alignment horizontal="right"/>
    </xf>
    <xf numFmtId="164" fontId="42" fillId="6" borderId="0" xfId="0" applyNumberFormat="1" applyFont="1" applyFill="1" applyAlignment="1">
      <alignment horizontal="center"/>
    </xf>
    <xf numFmtId="0" fontId="32" fillId="3" borderId="69" xfId="0" applyFont="1" applyFill="1" applyBorder="1" applyAlignment="1">
      <alignment horizontal="right" vertical="center"/>
    </xf>
    <xf numFmtId="0" fontId="32" fillId="3" borderId="69" xfId="0" applyFont="1" applyFill="1" applyBorder="1" applyAlignment="1">
      <alignment horizontal="right" vertical="center" wrapText="1"/>
    </xf>
    <xf numFmtId="0" fontId="32" fillId="6" borderId="69" xfId="0" applyFont="1" applyFill="1" applyBorder="1" applyAlignment="1">
      <alignment horizontal="right" vertical="center" wrapText="1"/>
    </xf>
    <xf numFmtId="0" fontId="32" fillId="3" borderId="0" xfId="0" applyFont="1" applyFill="1" applyAlignment="1">
      <alignment horizontal="right" vertical="center"/>
    </xf>
    <xf numFmtId="0" fontId="32" fillId="6" borderId="0" xfId="0" applyFont="1" applyFill="1" applyAlignment="1">
      <alignment horizontal="right" vertical="center" wrapText="1"/>
    </xf>
    <xf numFmtId="0" fontId="32" fillId="6" borderId="0" xfId="0" applyFont="1" applyFill="1" applyAlignment="1">
      <alignment horizontal="right" vertical="center"/>
    </xf>
    <xf numFmtId="0" fontId="32" fillId="3" borderId="70" xfId="0" applyFont="1" applyFill="1" applyBorder="1" applyAlignment="1">
      <alignment horizontal="right" vertical="center"/>
    </xf>
    <xf numFmtId="0" fontId="32" fillId="3" borderId="70" xfId="0" applyFont="1" applyFill="1" applyBorder="1" applyAlignment="1">
      <alignment horizontal="right" vertical="center" wrapText="1"/>
    </xf>
    <xf numFmtId="0" fontId="32" fillId="6" borderId="70" xfId="0" applyFont="1" applyFill="1" applyBorder="1" applyAlignment="1">
      <alignment horizontal="right" vertical="center" wrapText="1"/>
    </xf>
    <xf numFmtId="0" fontId="42" fillId="3" borderId="0" xfId="0" applyFont="1" applyFill="1" applyAlignment="1">
      <alignment horizontal="right" vertical="center"/>
    </xf>
    <xf numFmtId="0" fontId="42" fillId="3" borderId="0" xfId="0" applyFont="1" applyFill="1" applyAlignment="1">
      <alignment horizontal="right" vertical="center" wrapText="1"/>
    </xf>
    <xf numFmtId="0" fontId="42" fillId="6" borderId="0" xfId="0" applyFont="1" applyFill="1" applyAlignment="1">
      <alignment horizontal="right" vertical="center" wrapText="1"/>
    </xf>
    <xf numFmtId="164" fontId="42" fillId="0" borderId="0" xfId="0" applyNumberFormat="1" applyFont="1" applyAlignment="1">
      <alignment horizontal="center"/>
    </xf>
    <xf numFmtId="164" fontId="42" fillId="8" borderId="0" xfId="0" applyNumberFormat="1" applyFont="1" applyFill="1" applyAlignment="1">
      <alignment horizontal="right" vertical="center" wrapText="1"/>
    </xf>
    <xf numFmtId="164" fontId="32" fillId="2" borderId="0" xfId="0" applyNumberFormat="1" applyFont="1" applyFill="1" applyAlignment="1">
      <alignment horizontal="left" vertical="center" wrapText="1"/>
    </xf>
    <xf numFmtId="164" fontId="32" fillId="2" borderId="5" xfId="0" applyNumberFormat="1" applyFont="1" applyFill="1" applyBorder="1" applyAlignment="1">
      <alignment horizontal="left" vertical="center" wrapText="1"/>
    </xf>
    <xf numFmtId="164" fontId="32" fillId="0" borderId="21" xfId="0" applyNumberFormat="1" applyFont="1" applyBorder="1" applyAlignment="1">
      <alignment horizontal="left" vertical="center" wrapText="1"/>
    </xf>
    <xf numFmtId="164" fontId="32" fillId="2" borderId="5" xfId="0" applyNumberFormat="1" applyFont="1" applyFill="1" applyBorder="1" applyAlignment="1">
      <alignment horizontal="right" vertical="center" wrapText="1"/>
    </xf>
    <xf numFmtId="0" fontId="32" fillId="6" borderId="0" xfId="0" applyFont="1" applyFill="1" applyAlignment="1">
      <alignment vertical="center"/>
    </xf>
    <xf numFmtId="0" fontId="32" fillId="3" borderId="69" xfId="0" applyFont="1" applyFill="1" applyBorder="1" applyAlignment="1">
      <alignment horizontal="right" vertical="center" wrapText="1"/>
    </xf>
    <xf numFmtId="0" fontId="32" fillId="3" borderId="0" xfId="0" applyFont="1" applyFill="1" applyAlignment="1">
      <alignment horizontal="right" vertical="center" wrapText="1"/>
    </xf>
    <xf numFmtId="164" fontId="32" fillId="3" borderId="5" xfId="0" applyNumberFormat="1" applyFont="1" applyFill="1" applyBorder="1" applyAlignment="1">
      <alignment horizontal="right" vertical="center" wrapText="1"/>
    </xf>
    <xf numFmtId="164" fontId="32" fillId="2" borderId="3" xfId="0" applyNumberFormat="1" applyFont="1" applyFill="1" applyBorder="1" applyAlignment="1">
      <alignment vertical="center" wrapText="1"/>
    </xf>
    <xf numFmtId="164" fontId="32" fillId="2" borderId="20" xfId="0" applyNumberFormat="1" applyFont="1" applyFill="1" applyBorder="1" applyAlignment="1">
      <alignment vertical="center" wrapText="1"/>
    </xf>
    <xf numFmtId="164" fontId="32" fillId="2" borderId="2" xfId="0" applyNumberFormat="1" applyFont="1" applyFill="1" applyBorder="1" applyAlignment="1">
      <alignment vertical="center" wrapText="1"/>
    </xf>
    <xf numFmtId="164" fontId="32" fillId="2" borderId="4" xfId="0" applyNumberFormat="1" applyFont="1" applyFill="1" applyBorder="1" applyAlignment="1">
      <alignment vertical="center" wrapText="1"/>
    </xf>
    <xf numFmtId="0" fontId="32" fillId="6" borderId="0" xfId="0" applyFont="1" applyFill="1" applyAlignment="1">
      <alignment horizontal="right" vertical="center" wrapText="1"/>
    </xf>
    <xf numFmtId="0" fontId="0" fillId="0" borderId="0" xfId="0" applyAlignment="1">
      <alignment horizontal="left"/>
    </xf>
    <xf numFmtId="164" fontId="42" fillId="0" borderId="0" xfId="0" applyNumberFormat="1" applyFont="1" applyAlignment="1">
      <alignment horizontal="left"/>
    </xf>
    <xf numFmtId="164" fontId="32" fillId="0" borderId="0" xfId="0" applyNumberFormat="1" applyFont="1" applyAlignment="1">
      <alignment horizontal="left"/>
    </xf>
    <xf numFmtId="164" fontId="42" fillId="0" borderId="0" xfId="0" applyNumberFormat="1" applyFont="1" applyFill="1" applyAlignment="1">
      <alignment horizontal="left"/>
    </xf>
    <xf numFmtId="164" fontId="33" fillId="0" borderId="0" xfId="12" applyNumberFormat="1" applyAlignment="1">
      <alignment horizontal="left"/>
    </xf>
    <xf numFmtId="164" fontId="42" fillId="0" borderId="0" xfId="0" applyNumberFormat="1" applyFont="1" applyAlignment="1">
      <alignment horizontal="left" vertical="center" wrapText="1"/>
    </xf>
    <xf numFmtId="0" fontId="47" fillId="0" borderId="0" xfId="0" applyFont="1" applyAlignment="1">
      <alignment horizontal="center" vertical="top" wrapText="1"/>
    </xf>
    <xf numFmtId="0" fontId="47" fillId="0" borderId="0" xfId="0" applyFont="1" applyAlignment="1">
      <alignment vertical="top" wrapText="1"/>
    </xf>
    <xf numFmtId="0" fontId="48" fillId="16" borderId="87" xfId="0" applyFont="1" applyFill="1" applyBorder="1" applyAlignment="1">
      <alignment horizontal="left" vertical="top" wrapText="1"/>
    </xf>
    <xf numFmtId="169" fontId="47" fillId="0" borderId="0" xfId="1" applyNumberFormat="1" applyFont="1" applyAlignment="1">
      <alignment horizontal="right" vertical="top" wrapText="1"/>
    </xf>
    <xf numFmtId="0" fontId="48" fillId="0" borderId="87" xfId="0" applyFont="1" applyFill="1" applyBorder="1" applyAlignment="1">
      <alignment horizontal="left" vertical="top" wrapText="1"/>
    </xf>
    <xf numFmtId="0" fontId="48" fillId="0" borderId="0" xfId="0" applyFont="1" applyBorder="1" applyAlignment="1">
      <alignment horizontal="left" vertical="top" wrapText="1"/>
    </xf>
    <xf numFmtId="0" fontId="47" fillId="0" borderId="0" xfId="0" applyFont="1" applyAlignment="1">
      <alignment vertical="top"/>
    </xf>
    <xf numFmtId="0" fontId="47" fillId="0" borderId="0" xfId="0" applyFont="1" applyAlignment="1">
      <alignment horizontal="left" vertical="top" wrapText="1"/>
    </xf>
    <xf numFmtId="169" fontId="47" fillId="0" borderId="0" xfId="1" applyNumberFormat="1" applyFont="1" applyAlignment="1">
      <alignment vertical="top" wrapText="1"/>
    </xf>
    <xf numFmtId="0" fontId="47" fillId="0" borderId="0" xfId="0" applyFont="1" applyAlignment="1">
      <alignment horizontal="center" vertical="top"/>
    </xf>
    <xf numFmtId="0" fontId="49" fillId="0" borderId="0" xfId="0" applyFont="1" applyAlignment="1">
      <alignment horizontal="left" vertical="top" wrapText="1"/>
    </xf>
    <xf numFmtId="43" fontId="47" fillId="0" borderId="0" xfId="1" applyFont="1" applyAlignment="1">
      <alignment horizontal="right" vertical="top" wrapText="1"/>
    </xf>
    <xf numFmtId="0" fontId="47" fillId="0" borderId="0" xfId="0" applyFont="1" applyAlignment="1">
      <alignment horizontal="left" vertical="top"/>
    </xf>
    <xf numFmtId="1" fontId="47" fillId="0" borderId="0" xfId="0" applyNumberFormat="1" applyFont="1" applyAlignment="1">
      <alignment horizontal="center" vertical="top" wrapText="1"/>
    </xf>
    <xf numFmtId="0" fontId="47" fillId="0" borderId="0" xfId="0" applyFont="1" applyAlignment="1">
      <alignment wrapText="1"/>
    </xf>
    <xf numFmtId="0" fontId="47" fillId="0" borderId="0" xfId="0" applyFont="1" applyAlignment="1">
      <alignment horizontal="center" wrapText="1"/>
    </xf>
    <xf numFmtId="169" fontId="47" fillId="0" borderId="0" xfId="1" applyNumberFormat="1" applyFont="1" applyAlignment="1">
      <alignment horizontal="right" wrapText="1"/>
    </xf>
    <xf numFmtId="0" fontId="47" fillId="15" borderId="0" xfId="0" applyFont="1" applyFill="1" applyAlignment="1">
      <alignment wrapText="1"/>
    </xf>
    <xf numFmtId="43" fontId="47" fillId="0" borderId="0" xfId="1" applyFont="1" applyAlignment="1">
      <alignment horizontal="right" wrapText="1"/>
    </xf>
    <xf numFmtId="0" fontId="47" fillId="0" borderId="0" xfId="0" applyFont="1"/>
    <xf numFmtId="0" fontId="50" fillId="17" borderId="87" xfId="0" applyFont="1" applyFill="1" applyBorder="1" applyAlignment="1">
      <alignment horizontal="center" vertical="top" wrapText="1"/>
    </xf>
    <xf numFmtId="0" fontId="50" fillId="17" borderId="0" xfId="0" applyFont="1" applyFill="1" applyBorder="1" applyAlignment="1">
      <alignment horizontal="center" vertical="top" wrapText="1"/>
    </xf>
    <xf numFmtId="0" fontId="41" fillId="0" borderId="0" xfId="0" applyFont="1"/>
    <xf numFmtId="169" fontId="41" fillId="0" borderId="26" xfId="0" applyNumberFormat="1" applyFont="1" applyBorder="1"/>
    <xf numFmtId="169" fontId="41" fillId="0" borderId="0" xfId="0" applyNumberFormat="1" applyFont="1"/>
    <xf numFmtId="0" fontId="23" fillId="16" borderId="88" xfId="0" applyFont="1" applyFill="1" applyBorder="1" applyAlignment="1">
      <alignment vertical="top" wrapText="1"/>
    </xf>
    <xf numFmtId="0" fontId="23" fillId="0" borderId="88" xfId="0" applyFont="1" applyBorder="1" applyAlignment="1">
      <alignment vertical="top" wrapText="1"/>
    </xf>
    <xf numFmtId="0" fontId="50" fillId="17" borderId="88" xfId="0" applyFont="1" applyFill="1" applyBorder="1" applyAlignment="1">
      <alignment horizontal="center" vertical="top" wrapText="1"/>
    </xf>
    <xf numFmtId="0" fontId="23" fillId="16" borderId="88" xfId="0" applyFont="1" applyFill="1" applyBorder="1" applyAlignment="1">
      <alignment horizontal="left" vertical="top" wrapText="1"/>
    </xf>
    <xf numFmtId="0" fontId="23" fillId="0" borderId="88" xfId="0" applyFont="1" applyBorder="1" applyAlignment="1">
      <alignment horizontal="left" vertical="top" wrapText="1"/>
    </xf>
    <xf numFmtId="0" fontId="48" fillId="0" borderId="88" xfId="0" applyFont="1" applyBorder="1" applyAlignment="1">
      <alignment horizontal="left" vertical="top" wrapText="1"/>
    </xf>
    <xf numFmtId="0" fontId="47" fillId="0" borderId="0" xfId="0" applyFont="1" applyAlignment="1">
      <alignment horizontal="right" vertical="top" wrapText="1"/>
    </xf>
    <xf numFmtId="3" fontId="47" fillId="0" borderId="0" xfId="0" applyNumberFormat="1" applyFont="1" applyAlignment="1">
      <alignment horizontal="right" vertical="top" wrapText="1"/>
    </xf>
    <xf numFmtId="0" fontId="47" fillId="0" borderId="0" xfId="0" applyFont="1" applyFill="1" applyAlignment="1">
      <alignment horizontal="center" vertical="top" wrapText="1"/>
    </xf>
    <xf numFmtId="169" fontId="47" fillId="0" borderId="0" xfId="1" applyNumberFormat="1" applyFont="1" applyFill="1" applyAlignment="1">
      <alignment horizontal="right" vertical="top" wrapText="1"/>
    </xf>
    <xf numFmtId="0" fontId="0" fillId="6" borderId="0" xfId="0" applyFill="1" applyAlignment="1">
      <alignment horizontal="center" vertical="center" wrapText="1"/>
    </xf>
    <xf numFmtId="0" fontId="0" fillId="6" borderId="25" xfId="0" applyFill="1" applyBorder="1" applyAlignment="1">
      <alignment horizontal="center" vertical="center" wrapText="1"/>
    </xf>
    <xf numFmtId="164" fontId="32" fillId="2" borderId="2" xfId="0" applyNumberFormat="1" applyFont="1" applyFill="1" applyBorder="1" applyAlignment="1">
      <alignment vertical="center" wrapText="1"/>
    </xf>
    <xf numFmtId="164" fontId="32" fillId="2" borderId="3" xfId="0" applyNumberFormat="1" applyFont="1" applyFill="1" applyBorder="1" applyAlignment="1">
      <alignment vertical="center" wrapText="1"/>
    </xf>
    <xf numFmtId="164" fontId="32" fillId="2" borderId="4" xfId="0" applyNumberFormat="1" applyFont="1" applyFill="1" applyBorder="1" applyAlignment="1">
      <alignment vertical="center" wrapText="1"/>
    </xf>
    <xf numFmtId="164" fontId="32" fillId="2" borderId="19" xfId="0" applyNumberFormat="1" applyFont="1" applyFill="1" applyBorder="1" applyAlignment="1">
      <alignment vertical="center" wrapText="1"/>
    </xf>
    <xf numFmtId="164" fontId="32" fillId="2" borderId="20" xfId="0" applyNumberFormat="1" applyFont="1" applyFill="1" applyBorder="1" applyAlignment="1">
      <alignment vertical="center" wrapText="1"/>
    </xf>
    <xf numFmtId="0" fontId="32" fillId="6" borderId="69" xfId="0" applyFont="1" applyFill="1" applyBorder="1" applyAlignment="1">
      <alignment vertical="center"/>
    </xf>
    <xf numFmtId="0" fontId="32" fillId="6" borderId="0" xfId="0" applyFont="1" applyFill="1" applyAlignment="1">
      <alignment vertical="center"/>
    </xf>
    <xf numFmtId="0" fontId="32" fillId="6" borderId="70" xfId="0" applyFont="1" applyFill="1" applyBorder="1" applyAlignment="1">
      <alignment vertical="center"/>
    </xf>
    <xf numFmtId="0" fontId="32" fillId="3" borderId="69" xfId="0" applyFont="1" applyFill="1" applyBorder="1" applyAlignment="1">
      <alignment horizontal="right" vertical="center" wrapText="1"/>
    </xf>
    <xf numFmtId="0" fontId="32" fillId="3" borderId="0" xfId="0" applyFont="1" applyFill="1" applyAlignment="1">
      <alignment horizontal="right" vertical="center" wrapText="1"/>
    </xf>
    <xf numFmtId="164" fontId="32" fillId="2" borderId="5" xfId="0" applyNumberFormat="1" applyFont="1" applyFill="1" applyBorder="1" applyAlignment="1">
      <alignment horizontal="right" vertical="center" wrapText="1"/>
    </xf>
    <xf numFmtId="164" fontId="32" fillId="3" borderId="5" xfId="0" applyNumberFormat="1" applyFont="1" applyFill="1" applyBorder="1" applyAlignment="1">
      <alignment horizontal="right" vertical="center" wrapText="1"/>
    </xf>
    <xf numFmtId="0" fontId="6" fillId="6" borderId="30" xfId="0" applyFont="1" applyFill="1" applyBorder="1" applyAlignment="1">
      <alignment vertical="center" wrapText="1"/>
    </xf>
    <xf numFmtId="0" fontId="6" fillId="6" borderId="31" xfId="0" applyFont="1" applyFill="1" applyBorder="1" applyAlignment="1">
      <alignment vertical="center" wrapText="1"/>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0" fontId="20" fillId="2" borderId="2" xfId="0" applyFont="1" applyFill="1" applyBorder="1" applyAlignment="1">
      <alignment vertical="center" wrapText="1"/>
    </xf>
    <xf numFmtId="0" fontId="20" fillId="2" borderId="4" xfId="0" applyFont="1" applyFill="1" applyBorder="1" applyAlignment="1">
      <alignment vertical="center" wrapText="1"/>
    </xf>
    <xf numFmtId="0" fontId="41" fillId="0" borderId="0" xfId="0" applyFont="1" applyAlignment="1">
      <alignment horizontal="center"/>
    </xf>
    <xf numFmtId="0" fontId="0" fillId="0" borderId="0" xfId="0" applyAlignment="1">
      <alignment horizontal="center"/>
    </xf>
    <xf numFmtId="164" fontId="6" fillId="3" borderId="5" xfId="0" applyNumberFormat="1" applyFont="1" applyFill="1" applyBorder="1" applyAlignment="1">
      <alignment horizontal="right" vertical="center" wrapText="1"/>
    </xf>
    <xf numFmtId="164" fontId="6" fillId="3" borderId="0" xfId="0" applyNumberFormat="1" applyFont="1" applyFill="1" applyAlignment="1">
      <alignment horizontal="right" vertical="center" wrapText="1"/>
    </xf>
    <xf numFmtId="164" fontId="6" fillId="2" borderId="5" xfId="0" applyNumberFormat="1" applyFont="1" applyFill="1" applyBorder="1" applyAlignment="1">
      <alignment horizontal="right" vertical="center" wrapText="1"/>
    </xf>
    <xf numFmtId="164" fontId="6" fillId="2" borderId="0" xfId="0" applyNumberFormat="1" applyFont="1" applyFill="1" applyAlignment="1">
      <alignment horizontal="right" vertical="center" wrapText="1"/>
    </xf>
    <xf numFmtId="164" fontId="6" fillId="2" borderId="6" xfId="0" applyNumberFormat="1" applyFont="1" applyFill="1" applyBorder="1" applyAlignment="1">
      <alignment horizontal="right" vertical="center" wrapText="1"/>
    </xf>
    <xf numFmtId="164" fontId="6" fillId="2" borderId="7" xfId="0" applyNumberFormat="1" applyFont="1" applyFill="1" applyBorder="1" applyAlignment="1">
      <alignment horizontal="right" vertical="center" wrapText="1"/>
    </xf>
    <xf numFmtId="164" fontId="6" fillId="2" borderId="2" xfId="0" applyNumberFormat="1" applyFont="1" applyFill="1" applyBorder="1" applyAlignment="1">
      <alignment vertical="center" wrapText="1"/>
    </xf>
    <xf numFmtId="164" fontId="6" fillId="2" borderId="3" xfId="0" applyNumberFormat="1" applyFont="1" applyFill="1" applyBorder="1" applyAlignment="1">
      <alignment vertical="center" wrapText="1"/>
    </xf>
    <xf numFmtId="164" fontId="6" fillId="2" borderId="4" xfId="0" applyNumberFormat="1" applyFont="1" applyFill="1" applyBorder="1" applyAlignment="1">
      <alignment vertical="center" wrapText="1"/>
    </xf>
    <xf numFmtId="0" fontId="3" fillId="6" borderId="0" xfId="0" applyFont="1" applyFill="1" applyAlignment="1">
      <alignment horizontal="center"/>
    </xf>
  </cellXfs>
  <cellStyles count="36">
    <cellStyle name="Comma" xfId="1" builtinId="3"/>
    <cellStyle name="Comma 2" xfId="8" xr:uid="{18BBE051-7DA3-4DBA-80FB-4C6DF2AF94C4}"/>
    <cellStyle name="Comma 3" xfId="13" xr:uid="{7D577A22-C60D-4DB6-A8EA-1BA4328F83CF}"/>
    <cellStyle name="Comma 3 2" xfId="35" xr:uid="{B3C9896A-ECA0-4DC9-854F-5A24A643F376}"/>
    <cellStyle name="Comma 4" xfId="29" xr:uid="{D0F32581-1D2F-4385-923A-F5927F624E0F}"/>
    <cellStyle name="Explanatory Text" xfId="26" builtinId="53" customBuiltin="1"/>
    <cellStyle name="Heading 1" xfId="21" builtinId="16" customBuiltin="1"/>
    <cellStyle name="Heading 2" xfId="22" builtinId="17" customBuiltin="1"/>
    <cellStyle name="Heading 3" xfId="23" builtinId="18" customBuiltin="1"/>
    <cellStyle name="Heading 4" xfId="24" builtinId="19" customBuiltin="1"/>
    <cellStyle name="Hyperlink" xfId="12" builtinId="8"/>
    <cellStyle name="Normal" xfId="0" builtinId="0" customBuiltin="1"/>
    <cellStyle name="Normal 11" xfId="11" xr:uid="{E796C7C4-23B3-4AEF-8FE8-6BC085FDCF4F}"/>
    <cellStyle name="Normal 2" xfId="2" xr:uid="{00000000-0005-0000-0000-000002000000}"/>
    <cellStyle name="Normal 2 2" xfId="5" xr:uid="{00000000-0005-0000-0000-000003000000}"/>
    <cellStyle name="Normal 2 2 2" xfId="19" xr:uid="{EEBABBF4-3CFC-446A-9197-CF1A7970F284}"/>
    <cellStyle name="Normal 2 3" xfId="14" xr:uid="{687574A2-623C-4094-A53E-CB1F3FB40FD2}"/>
    <cellStyle name="Normal 3" xfId="3" xr:uid="{00000000-0005-0000-0000-000004000000}"/>
    <cellStyle name="Normal 3 2" xfId="4" xr:uid="{00000000-0005-0000-0000-000005000000}"/>
    <cellStyle name="Normal 3 3" xfId="34" xr:uid="{F13D571B-28D0-42B6-B80B-0713A69D64B7}"/>
    <cellStyle name="Normal 4" xfId="6" xr:uid="{00000000-0005-0000-0000-000006000000}"/>
    <cellStyle name="Normal 4 2" xfId="9" xr:uid="{71C232CE-AA1B-4B64-9A19-B90183E8F972}"/>
    <cellStyle name="Normal 5" xfId="28" xr:uid="{D3A5DB66-37F9-4429-8922-63B2A4B938FB}"/>
    <cellStyle name="Normal 9 2" xfId="10" xr:uid="{55FE30BC-AB4A-4D42-8DBD-DAF98D3784B0}"/>
    <cellStyle name="Note" xfId="25" builtinId="10" customBuiltin="1"/>
    <cellStyle name="Percent" xfId="7" builtinId="5"/>
    <cellStyle name="SAPBEXaggItem 2" xfId="17" xr:uid="{EFD81291-94FC-4E50-A93D-D3EC972BD87C}"/>
    <cellStyle name="SAPBEXaggItem 2 2" xfId="32" xr:uid="{ADDE8FFA-1485-4740-9E7F-D16C66D6B72D}"/>
    <cellStyle name="SAPBEXchaText 2" xfId="15" xr:uid="{A9747827-1B7C-4A3D-AE5D-345E3E4F7EF7}"/>
    <cellStyle name="SAPBEXchaText 2 2" xfId="30" xr:uid="{926B1666-E5E0-42C9-A4C6-A8A8A6460E4A}"/>
    <cellStyle name="SAPBEXstdData 2" xfId="18" xr:uid="{CEFBC4F4-62C8-45A8-8A32-D2F2B4865FF2}"/>
    <cellStyle name="SAPBEXstdData 2 2" xfId="33" xr:uid="{52737FFF-8811-4939-AFAF-EEAA50A7ABDB}"/>
    <cellStyle name="SAPBEXstdItem 2" xfId="16" xr:uid="{9095D1FC-1CBF-4838-A0DD-3E3BEA1F5111}"/>
    <cellStyle name="SAPBEXstdItem 2 2" xfId="31" xr:uid="{EA97CFE6-8DD0-4A7E-AD61-EC3A49A097C9}"/>
    <cellStyle name="Title" xfId="20" builtinId="15" customBuiltin="1"/>
    <cellStyle name="Total" xfId="27" builtinId="25" customBuiltin="1"/>
  </cellStyles>
  <dxfs count="105">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alignment horizontal="center"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name val="Calibri"/>
        <family val="2"/>
        <scheme val="minor"/>
      </font>
      <alignment horizontal="center" vertical="top" textRotation="0" wrapText="1" indent="0" justifyLastLine="0" shrinkToFit="0" readingOrder="0"/>
    </dxf>
    <dxf>
      <font>
        <strike val="0"/>
        <outline val="0"/>
        <shadow val="0"/>
        <vertAlign val="baseline"/>
        <sz val="10"/>
        <name val="Calibri"/>
        <family val="2"/>
        <scheme val="minor"/>
      </font>
      <alignment horizontal="center"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vertical="top" textRotation="0" wrapText="1" indent="0" justifyLastLine="0" shrinkToFit="0" readingOrder="0"/>
    </dxf>
    <dxf>
      <font>
        <strike val="0"/>
        <outline val="0"/>
        <shadow val="0"/>
        <vertAlign val="baseline"/>
        <sz val="10"/>
        <name val="Calibri"/>
        <family val="2"/>
        <scheme val="minor"/>
      </font>
      <alignment horizontal="center"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color rgb="FF00000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color rgb="FF00000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color rgb="FF000000"/>
        <name val="Calibri"/>
        <family val="2"/>
        <scheme val="minor"/>
      </font>
      <alignment horizontal="center" vertical="top" textRotation="0" wrapText="1" indent="0" justifyLastLine="0" shrinkToFit="0" readingOrder="0"/>
    </dxf>
    <dxf>
      <font>
        <strike val="0"/>
        <outline val="0"/>
        <shadow val="0"/>
        <vertAlign val="baseline"/>
        <sz val="10"/>
        <color rgb="FF000000"/>
        <name val="Calibri"/>
        <family val="2"/>
        <scheme val="minor"/>
      </font>
      <alignment horizontal="right" vertical="top" textRotation="0" wrapText="1" indent="0" justifyLastLine="0" shrinkToFit="0" readingOrder="0"/>
    </dxf>
    <dxf>
      <font>
        <strike val="0"/>
        <outline val="0"/>
        <shadow val="0"/>
        <vertAlign val="baseline"/>
        <sz val="10"/>
        <color rgb="FF000000"/>
        <name val="Calibri"/>
        <family val="2"/>
        <scheme val="minor"/>
      </font>
      <alignment horizontal="right" vertical="top" textRotation="0" wrapText="1" indent="0" justifyLastLine="0" shrinkToFit="0" readingOrder="0"/>
    </dxf>
    <dxf>
      <font>
        <strike val="0"/>
        <outline val="0"/>
        <shadow val="0"/>
        <vertAlign val="baseline"/>
        <sz val="10"/>
        <color rgb="FF000000"/>
        <name val="Calibri"/>
        <family val="2"/>
        <scheme val="minor"/>
      </font>
      <alignment horizontal="righ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color rgb="FF000000"/>
        <name val="Calibri"/>
        <family val="2"/>
        <scheme val="minor"/>
      </font>
      <alignment horizontal="center" vertical="top" textRotation="0" wrapText="1" indent="0" justifyLastLine="0" shrinkToFit="0" readingOrder="0"/>
    </dxf>
    <dxf>
      <font>
        <strike val="0"/>
        <outline val="0"/>
        <shadow val="0"/>
        <vertAlign val="baseline"/>
        <sz val="10"/>
        <color rgb="FF000000"/>
        <name val="Calibri"/>
        <family val="2"/>
        <scheme val="minor"/>
      </font>
      <numFmt numFmtId="169" formatCode="_-* #,##0_-;\-* #,##0_-;_-* &quot;-&quot;??_-;_-@_-"/>
      <alignment horizontal="right" vertical="top" textRotation="0" wrapText="1" indent="0" justifyLastLine="0" shrinkToFit="0" readingOrder="0"/>
    </dxf>
    <dxf>
      <font>
        <strike val="0"/>
        <outline val="0"/>
        <shadow val="0"/>
        <vertAlign val="baseline"/>
        <sz val="10"/>
        <color rgb="FF000000"/>
        <name val="Calibri"/>
        <family val="2"/>
        <scheme val="minor"/>
      </font>
      <alignment horizontal="center" vertical="top" textRotation="0" wrapText="1" indent="0" justifyLastLine="0" shrinkToFit="0" readingOrder="0"/>
    </dxf>
    <dxf>
      <font>
        <strike val="0"/>
        <outline val="0"/>
        <shadow val="0"/>
        <vertAlign val="baseline"/>
        <sz val="10"/>
        <color rgb="FF000000"/>
        <name val="Calibri"/>
        <family val="2"/>
        <scheme val="minor"/>
      </font>
      <alignment horizontal="center"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left" vertical="top" textRotation="0" wrapText="1" indent="0" justifyLastLine="0" shrinkToFit="0" readingOrder="0"/>
    </dxf>
    <dxf>
      <font>
        <strike val="0"/>
        <outline val="0"/>
        <shadow val="0"/>
        <vertAlign val="baseline"/>
        <sz val="10"/>
        <color rgb="FF000000"/>
        <name val="Calibri"/>
        <family val="2"/>
        <scheme val="minor"/>
      </font>
      <alignment horizontal="center" vertical="top" textRotation="0" wrapText="1" indent="0" justifyLastLine="0" shrinkToFit="0" readingOrder="0"/>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numFmt numFmtId="169" formatCode="_-* #,##0_-;\-* #,##0_-;_-* &quot;-&quot;??_-;_-@_-"/>
    </dxf>
    <dxf>
      <numFmt numFmtId="169" formatCode="_-* #,##0_-;\-* #,##0_-;_-* &quot;-&quot;??_-;_-@_-"/>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s>
  <tableStyles count="0" defaultTableStyle="TableStyleMedium2" defaultPivotStyle="PivotStyleLight16"/>
  <colors>
    <mruColors>
      <color rgb="FFFF9999"/>
      <color rgb="FF009900"/>
      <color rgb="FFD9D9D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sharedStrings" Target="sharedStrings.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pivotCacheDefinition" Target="pivotCache/pivotCacheDefinition1.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68E-4CC4-AFC5-20FA47C626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68E-4CC4-AFC5-20FA47C626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8E-4CC4-AFC5-20FA47C626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8E-4CC4-AFC5-20FA47C626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68E-4CC4-AFC5-20FA47C6266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68E-4CC4-AFC5-20FA47C6266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68E-4CC4-AFC5-20FA47C62669}"/>
              </c:ext>
            </c:extLst>
          </c:dPt>
          <c:dLbls>
            <c:delete val="1"/>
          </c:dLbls>
          <c:cat>
            <c:strRef>
              <c:f>'CANDIDATE BRIEFINGS'!$N$30:$N$36</c:f>
              <c:strCache>
                <c:ptCount val="7"/>
                <c:pt idx="0">
                  <c:v>Fares income: £5,123m</c:v>
                </c:pt>
                <c:pt idx="1">
                  <c:v>General Government grants: £2,060m</c:v>
                </c:pt>
                <c:pt idx="2">
                  <c:v>Other general income : £1,659m</c:v>
                </c:pt>
                <c:pt idx="3">
                  <c:v>Business rates: £1,426m</c:v>
                </c:pt>
                <c:pt idx="4">
                  <c:v>Council tax : £999m</c:v>
                </c:pt>
                <c:pt idx="5">
                  <c:v>Specific Government grants: £930m</c:v>
                </c:pt>
                <c:pt idx="6">
                  <c:v>Use of reserves: £177m</c:v>
                </c:pt>
              </c:strCache>
            </c:strRef>
          </c:cat>
          <c:val>
            <c:numRef>
              <c:f>'CANDIDATE BRIEFINGS'!$O$30:$O$36</c:f>
              <c:numCache>
                <c:formatCode>_-* #,##0_-;\-* #,##0_-;_-*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968E-4CC4-AFC5-20FA47C62669}"/>
            </c:ext>
          </c:extLst>
        </c:ser>
        <c:dLbls>
          <c:showLegendKey val="0"/>
          <c:showVal val="0"/>
          <c:showCatName val="1"/>
          <c:showSerName val="0"/>
          <c:showPercent val="1"/>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4D-4594-B91C-A2A414B20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4D-4594-B91C-A2A414B20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4D-4594-B91C-A2A414B20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4D-4594-B91C-A2A414B20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4D-4594-B91C-A2A414B20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A4D-4594-B91C-A2A414B20C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A4D-4594-B91C-A2A414B20C6A}"/>
              </c:ext>
            </c:extLst>
          </c:dPt>
          <c:dLbls>
            <c:delete val="1"/>
          </c:dLbls>
          <c:cat>
            <c:strRef>
              <c:f>'CANDIDATE BRIEFINGS'!$AV$28:$AV$31</c:f>
              <c:strCache>
                <c:ptCount val="4"/>
                <c:pt idx="0">
                  <c:v>Capital grants &amp; Contributions: £2,345m</c:v>
                </c:pt>
                <c:pt idx="1">
                  <c:v>Borrowing : £2,013m</c:v>
                </c:pt>
                <c:pt idx="2">
                  <c:v>Capital receipts: £496m</c:v>
                </c:pt>
                <c:pt idx="3">
                  <c:v>Revenue Contributions: £187m</c:v>
                </c:pt>
              </c:strCache>
            </c:strRef>
          </c:cat>
          <c:val>
            <c:numRef>
              <c:f>'CANDIDATE BRIEFINGS'!$AW$28:$AW$31</c:f>
              <c:numCache>
                <c:formatCode>_-* #,##0.0_-;\-* #,##0.0_-;_-* "-"??_-;_-@_-</c:formatCode>
                <c:ptCount val="4"/>
                <c:pt idx="0">
                  <c:v>0</c:v>
                </c:pt>
                <c:pt idx="1">
                  <c:v>0</c:v>
                </c:pt>
                <c:pt idx="2">
                  <c:v>0</c:v>
                </c:pt>
                <c:pt idx="3">
                  <c:v>0</c:v>
                </c:pt>
              </c:numCache>
            </c:numRef>
          </c:val>
          <c:extLst>
            <c:ext xmlns:c16="http://schemas.microsoft.com/office/drawing/2014/chart" uri="{C3380CC4-5D6E-409C-BE32-E72D297353CC}">
              <c16:uniqueId val="{0000000E-0A4D-4594-B91C-A2A414B20C6A}"/>
            </c:ext>
          </c:extLst>
        </c:ser>
        <c:dLbls>
          <c:showLegendKey val="0"/>
          <c:showVal val="0"/>
          <c:showCatName val="1"/>
          <c:showSerName val="0"/>
          <c:showPercent val="1"/>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'CANDIDATE BRIEFINGS'!$A$18</c:f>
              <c:strCache>
                <c:ptCount val="1"/>
                <c:pt idx="0">
                  <c:v>TfL: £7,147m</c:v>
                </c:pt>
              </c:strCache>
            </c:strRef>
          </c:tx>
          <c:spPr>
            <a:solidFill>
              <a:schemeClr val="accent1"/>
            </a:solidFill>
            <a:ln>
              <a:noFill/>
            </a:ln>
            <a:effectLst/>
          </c:spPr>
          <c:invertIfNegative val="0"/>
          <c:cat>
            <c:strRef>
              <c:f>'CANDIDATE BRIEFINGS'!$B$17</c:f>
              <c:strCache>
                <c:ptCount val="1"/>
                <c:pt idx="0">
                  <c:v>2020/21 Revenue gross spending</c:v>
                </c:pt>
              </c:strCache>
            </c:strRef>
          </c:cat>
          <c:val>
            <c:numRef>
              <c:f>'CANDIDATE BRIEFINGS'!$B$18</c:f>
              <c:numCache>
                <c:formatCode>"£"#,##0"m"</c:formatCode>
                <c:ptCount val="1"/>
                <c:pt idx="0">
                  <c:v>0</c:v>
                </c:pt>
              </c:numCache>
            </c:numRef>
          </c:val>
          <c:extLst>
            <c:ext xmlns:c16="http://schemas.microsoft.com/office/drawing/2014/chart" uri="{C3380CC4-5D6E-409C-BE32-E72D297353CC}">
              <c16:uniqueId val="{00000000-FAA1-4C93-ACB4-9AC70CDAE2B4}"/>
            </c:ext>
          </c:extLst>
        </c:ser>
        <c:ser>
          <c:idx val="1"/>
          <c:order val="1"/>
          <c:tx>
            <c:strRef>
              <c:f>'CANDIDATE BRIEFINGS'!$A$19</c:f>
              <c:strCache>
                <c:ptCount val="1"/>
                <c:pt idx="0">
                  <c:v>MOPAC: £3,812m</c:v>
                </c:pt>
              </c:strCache>
            </c:strRef>
          </c:tx>
          <c:spPr>
            <a:solidFill>
              <a:schemeClr val="accent2"/>
            </a:solidFill>
            <a:ln>
              <a:noFill/>
            </a:ln>
            <a:effectLst/>
          </c:spPr>
          <c:invertIfNegative val="0"/>
          <c:cat>
            <c:strRef>
              <c:f>'CANDIDATE BRIEFINGS'!$B$17</c:f>
              <c:strCache>
                <c:ptCount val="1"/>
                <c:pt idx="0">
                  <c:v>2020/21 Revenue gross spending</c:v>
                </c:pt>
              </c:strCache>
            </c:strRef>
          </c:cat>
          <c:val>
            <c:numRef>
              <c:f>'CANDIDATE BRIEFINGS'!$B$19</c:f>
              <c:numCache>
                <c:formatCode>"£"#,##0"m"</c:formatCode>
                <c:ptCount val="1"/>
                <c:pt idx="0">
                  <c:v>0</c:v>
                </c:pt>
              </c:numCache>
            </c:numRef>
          </c:val>
          <c:extLst>
            <c:ext xmlns:c16="http://schemas.microsoft.com/office/drawing/2014/chart" uri="{C3380CC4-5D6E-409C-BE32-E72D297353CC}">
              <c16:uniqueId val="{00000001-FAA1-4C93-ACB4-9AC70CDAE2B4}"/>
            </c:ext>
          </c:extLst>
        </c:ser>
        <c:ser>
          <c:idx val="2"/>
          <c:order val="2"/>
          <c:tx>
            <c:strRef>
              <c:f>'CANDIDATE BRIEFINGS'!$A$20</c:f>
              <c:strCache>
                <c:ptCount val="1"/>
                <c:pt idx="0">
                  <c:v>GLA - Mayor: £847m</c:v>
                </c:pt>
              </c:strCache>
            </c:strRef>
          </c:tx>
          <c:spPr>
            <a:solidFill>
              <a:schemeClr val="accent3"/>
            </a:solidFill>
            <a:ln>
              <a:noFill/>
            </a:ln>
            <a:effectLst/>
          </c:spPr>
          <c:invertIfNegative val="0"/>
          <c:cat>
            <c:strRef>
              <c:f>'CANDIDATE BRIEFINGS'!$B$17</c:f>
              <c:strCache>
                <c:ptCount val="1"/>
                <c:pt idx="0">
                  <c:v>2020/21 Revenue gross spending</c:v>
                </c:pt>
              </c:strCache>
            </c:strRef>
          </c:cat>
          <c:val>
            <c:numRef>
              <c:f>'CANDIDATE BRIEFINGS'!$B$20</c:f>
              <c:numCache>
                <c:formatCode>"£"#,##0"m"</c:formatCode>
                <c:ptCount val="1"/>
                <c:pt idx="0">
                  <c:v>0</c:v>
                </c:pt>
              </c:numCache>
            </c:numRef>
          </c:val>
          <c:extLst>
            <c:ext xmlns:c16="http://schemas.microsoft.com/office/drawing/2014/chart" uri="{C3380CC4-5D6E-409C-BE32-E72D297353CC}">
              <c16:uniqueId val="{00000002-FAA1-4C93-ACB4-9AC70CDAE2B4}"/>
            </c:ext>
          </c:extLst>
        </c:ser>
        <c:ser>
          <c:idx val="3"/>
          <c:order val="3"/>
          <c:tx>
            <c:strRef>
              <c:f>'CANDIDATE BRIEFINGS'!$A$21</c:f>
              <c:strCache>
                <c:ptCount val="1"/>
                <c:pt idx="0">
                  <c:v>LFC: £486m</c:v>
                </c:pt>
              </c:strCache>
            </c:strRef>
          </c:tx>
          <c:spPr>
            <a:solidFill>
              <a:schemeClr val="accent4"/>
            </a:solidFill>
            <a:ln>
              <a:noFill/>
            </a:ln>
            <a:effectLst/>
          </c:spPr>
          <c:invertIfNegative val="0"/>
          <c:cat>
            <c:strRef>
              <c:f>'CANDIDATE BRIEFINGS'!$B$17</c:f>
              <c:strCache>
                <c:ptCount val="1"/>
                <c:pt idx="0">
                  <c:v>2020/21 Revenue gross spending</c:v>
                </c:pt>
              </c:strCache>
            </c:strRef>
          </c:cat>
          <c:val>
            <c:numRef>
              <c:f>'CANDIDATE BRIEFINGS'!$B$21</c:f>
              <c:numCache>
                <c:formatCode>"£"#,##0"m"</c:formatCode>
                <c:ptCount val="1"/>
                <c:pt idx="0">
                  <c:v>0</c:v>
                </c:pt>
              </c:numCache>
            </c:numRef>
          </c:val>
          <c:extLst>
            <c:ext xmlns:c16="http://schemas.microsoft.com/office/drawing/2014/chart" uri="{C3380CC4-5D6E-409C-BE32-E72D297353CC}">
              <c16:uniqueId val="{00000003-FAA1-4C93-ACB4-9AC70CDAE2B4}"/>
            </c:ext>
          </c:extLst>
        </c:ser>
        <c:ser>
          <c:idx val="4"/>
          <c:order val="4"/>
          <c:tx>
            <c:strRef>
              <c:f>'CANDIDATE BRIEFINGS'!$A$22</c:f>
              <c:strCache>
                <c:ptCount val="1"/>
                <c:pt idx="0">
                  <c:v>LLDC: £66m</c:v>
                </c:pt>
              </c:strCache>
            </c:strRef>
          </c:tx>
          <c:spPr>
            <a:solidFill>
              <a:schemeClr val="accent5"/>
            </a:solidFill>
            <a:ln>
              <a:noFill/>
            </a:ln>
            <a:effectLst/>
          </c:spPr>
          <c:invertIfNegative val="0"/>
          <c:cat>
            <c:strRef>
              <c:f>'CANDIDATE BRIEFINGS'!$B$17</c:f>
              <c:strCache>
                <c:ptCount val="1"/>
                <c:pt idx="0">
                  <c:v>2020/21 Revenue gross spending</c:v>
                </c:pt>
              </c:strCache>
            </c:strRef>
          </c:cat>
          <c:val>
            <c:numRef>
              <c:f>'CANDIDATE BRIEFINGS'!$B$22</c:f>
              <c:numCache>
                <c:formatCode>"£"#,##0"m"</c:formatCode>
                <c:ptCount val="1"/>
                <c:pt idx="0">
                  <c:v>0</c:v>
                </c:pt>
              </c:numCache>
            </c:numRef>
          </c:val>
          <c:extLst>
            <c:ext xmlns:c16="http://schemas.microsoft.com/office/drawing/2014/chart" uri="{C3380CC4-5D6E-409C-BE32-E72D297353CC}">
              <c16:uniqueId val="{00000004-FAA1-4C93-ACB4-9AC70CDAE2B4}"/>
            </c:ext>
          </c:extLst>
        </c:ser>
        <c:ser>
          <c:idx val="6"/>
          <c:order val="5"/>
          <c:tx>
            <c:strRef>
              <c:f>'CANDIDATE BRIEFINGS'!$A$23</c:f>
              <c:strCache>
                <c:ptCount val="1"/>
                <c:pt idx="0">
                  <c:v>OPDC: £9m</c:v>
                </c:pt>
              </c:strCache>
            </c:strRef>
          </c:tx>
          <c:spPr>
            <a:solidFill>
              <a:schemeClr val="tx1">
                <a:lumMod val="75000"/>
                <a:lumOff val="25000"/>
              </a:schemeClr>
            </a:solidFill>
            <a:ln>
              <a:noFill/>
            </a:ln>
            <a:effectLst/>
          </c:spPr>
          <c:invertIfNegative val="0"/>
          <c:val>
            <c:numRef>
              <c:f>'CANDIDATE BRIEFINGS'!$B$23</c:f>
              <c:numCache>
                <c:formatCode>"£"#,##0"m"</c:formatCode>
                <c:ptCount val="1"/>
                <c:pt idx="0">
                  <c:v>0</c:v>
                </c:pt>
              </c:numCache>
            </c:numRef>
          </c:val>
          <c:extLst>
            <c:ext xmlns:c16="http://schemas.microsoft.com/office/drawing/2014/chart" uri="{C3380CC4-5D6E-409C-BE32-E72D297353CC}">
              <c16:uniqueId val="{00000001-6D03-4B37-BDED-FC2727AA8EC5}"/>
            </c:ext>
          </c:extLst>
        </c:ser>
        <c:ser>
          <c:idx val="5"/>
          <c:order val="6"/>
          <c:tx>
            <c:strRef>
              <c:f>'CANDIDATE BRIEFINGS'!$A$24</c:f>
              <c:strCache>
                <c:ptCount val="1"/>
                <c:pt idx="0">
                  <c:v>GLA - Assembly: £8m</c:v>
                </c:pt>
              </c:strCache>
            </c:strRef>
          </c:tx>
          <c:spPr>
            <a:solidFill>
              <a:schemeClr val="accent6"/>
            </a:solidFill>
            <a:ln>
              <a:noFill/>
            </a:ln>
            <a:effectLst/>
          </c:spPr>
          <c:invertIfNegative val="0"/>
          <c:val>
            <c:numRef>
              <c:f>'CANDIDATE BRIEFINGS'!$B$24</c:f>
              <c:numCache>
                <c:formatCode>"£"#,##0"m"</c:formatCode>
                <c:ptCount val="1"/>
                <c:pt idx="0">
                  <c:v>0</c:v>
                </c:pt>
              </c:numCache>
            </c:numRef>
          </c:val>
          <c:extLst>
            <c:ext xmlns:c16="http://schemas.microsoft.com/office/drawing/2014/chart" uri="{C3380CC4-5D6E-409C-BE32-E72D297353CC}">
              <c16:uniqueId val="{00000002-6D03-4B37-BDED-FC2727AA8EC5}"/>
            </c:ext>
          </c:extLst>
        </c:ser>
        <c:dLbls>
          <c:showLegendKey val="0"/>
          <c:showVal val="0"/>
          <c:showCatName val="0"/>
          <c:showSerName val="0"/>
          <c:showPercent val="0"/>
          <c:showBubbleSize val="0"/>
        </c:dLbls>
        <c:gapWidth val="150"/>
        <c:overlap val="100"/>
        <c:axId val="1192964840"/>
        <c:axId val="1192964512"/>
      </c:barChart>
      <c:catAx>
        <c:axId val="1192964840"/>
        <c:scaling>
          <c:orientation val="minMax"/>
        </c:scaling>
        <c:delete val="1"/>
        <c:axPos val="l"/>
        <c:numFmt formatCode="General" sourceLinked="1"/>
        <c:majorTickMark val="none"/>
        <c:minorTickMark val="none"/>
        <c:tickLblPos val="nextTo"/>
        <c:crossAx val="1192964512"/>
        <c:crosses val="autoZero"/>
        <c:auto val="1"/>
        <c:lblAlgn val="ctr"/>
        <c:lblOffset val="100"/>
        <c:noMultiLvlLbl val="0"/>
      </c:catAx>
      <c:valAx>
        <c:axId val="119296451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9648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'CANDIDATE BRIEFINGS'!$AM$28</c:f>
              <c:strCache>
                <c:ptCount val="1"/>
                <c:pt idx="0">
                  <c:v>TfL: £2,707m</c:v>
                </c:pt>
              </c:strCache>
            </c:strRef>
          </c:tx>
          <c:spPr>
            <a:solidFill>
              <a:schemeClr val="accent1"/>
            </a:solidFill>
            <a:ln>
              <a:noFill/>
            </a:ln>
            <a:effectLst/>
          </c:spPr>
          <c:invertIfNegative val="0"/>
          <c:cat>
            <c:strRef>
              <c:f>'CANDIDATE BRIEFINGS'!$AN$27</c:f>
              <c:strCache>
                <c:ptCount val="1"/>
                <c:pt idx="0">
                  <c:v> 2020/21 Capital spending </c:v>
                </c:pt>
              </c:strCache>
            </c:strRef>
          </c:cat>
          <c:val>
            <c:numRef>
              <c:f>'CANDIDATE BRIEFINGS'!$AN$28</c:f>
              <c:numCache>
                <c:formatCode>_-* #,##0.0_-;\-* #,##0.0_-;_-* "-"??_-;_-@_-</c:formatCode>
                <c:ptCount val="1"/>
                <c:pt idx="0">
                  <c:v>0</c:v>
                </c:pt>
              </c:numCache>
            </c:numRef>
          </c:val>
          <c:extLst>
            <c:ext xmlns:c16="http://schemas.microsoft.com/office/drawing/2014/chart" uri="{C3380CC4-5D6E-409C-BE32-E72D297353CC}">
              <c16:uniqueId val="{00000000-32EA-4290-BB07-90A71093F08E}"/>
            </c:ext>
          </c:extLst>
        </c:ser>
        <c:ser>
          <c:idx val="1"/>
          <c:order val="1"/>
          <c:tx>
            <c:strRef>
              <c:f>'CANDIDATE BRIEFINGS'!$AM$29</c:f>
              <c:strCache>
                <c:ptCount val="1"/>
                <c:pt idx="0">
                  <c:v>GLA - Mayor: £1,603m</c:v>
                </c:pt>
              </c:strCache>
            </c:strRef>
          </c:tx>
          <c:spPr>
            <a:solidFill>
              <a:schemeClr val="accent2"/>
            </a:solidFill>
            <a:ln>
              <a:noFill/>
            </a:ln>
            <a:effectLst/>
          </c:spPr>
          <c:invertIfNegative val="0"/>
          <c:cat>
            <c:strRef>
              <c:f>'CANDIDATE BRIEFINGS'!$AN$27</c:f>
              <c:strCache>
                <c:ptCount val="1"/>
                <c:pt idx="0">
                  <c:v> 2020/21 Capital spending </c:v>
                </c:pt>
              </c:strCache>
            </c:strRef>
          </c:cat>
          <c:val>
            <c:numRef>
              <c:f>'CANDIDATE BRIEFINGS'!$AN$29</c:f>
              <c:numCache>
                <c:formatCode>_-* #,##0.0_-;\-* #,##0.0_-;_-* "-"??_-;_-@_-</c:formatCode>
                <c:ptCount val="1"/>
                <c:pt idx="0">
                  <c:v>0</c:v>
                </c:pt>
              </c:numCache>
            </c:numRef>
          </c:val>
          <c:extLst>
            <c:ext xmlns:c16="http://schemas.microsoft.com/office/drawing/2014/chart" uri="{C3380CC4-5D6E-409C-BE32-E72D297353CC}">
              <c16:uniqueId val="{00000001-32EA-4290-BB07-90A71093F08E}"/>
            </c:ext>
          </c:extLst>
        </c:ser>
        <c:ser>
          <c:idx val="2"/>
          <c:order val="2"/>
          <c:tx>
            <c:strRef>
              <c:f>'CANDIDATE BRIEFINGS'!$AM$30</c:f>
              <c:strCache>
                <c:ptCount val="1"/>
                <c:pt idx="0">
                  <c:v>MOPAC: £415m</c:v>
                </c:pt>
              </c:strCache>
            </c:strRef>
          </c:tx>
          <c:spPr>
            <a:solidFill>
              <a:schemeClr val="accent3"/>
            </a:solidFill>
            <a:ln>
              <a:noFill/>
            </a:ln>
            <a:effectLst/>
          </c:spPr>
          <c:invertIfNegative val="0"/>
          <c:cat>
            <c:strRef>
              <c:f>'CANDIDATE BRIEFINGS'!$AN$27</c:f>
              <c:strCache>
                <c:ptCount val="1"/>
                <c:pt idx="0">
                  <c:v> 2020/21 Capital spending </c:v>
                </c:pt>
              </c:strCache>
            </c:strRef>
          </c:cat>
          <c:val>
            <c:numRef>
              <c:f>'CANDIDATE BRIEFINGS'!$AN$30</c:f>
              <c:numCache>
                <c:formatCode>_-* #,##0.0_-;\-* #,##0.0_-;_-* "-"??_-;_-@_-</c:formatCode>
                <c:ptCount val="1"/>
                <c:pt idx="0">
                  <c:v>0</c:v>
                </c:pt>
              </c:numCache>
            </c:numRef>
          </c:val>
          <c:extLst>
            <c:ext xmlns:c16="http://schemas.microsoft.com/office/drawing/2014/chart" uri="{C3380CC4-5D6E-409C-BE32-E72D297353CC}">
              <c16:uniqueId val="{00000002-32EA-4290-BB07-90A71093F08E}"/>
            </c:ext>
          </c:extLst>
        </c:ser>
        <c:ser>
          <c:idx val="3"/>
          <c:order val="3"/>
          <c:tx>
            <c:strRef>
              <c:f>'CANDIDATE BRIEFINGS'!$AM$31</c:f>
              <c:strCache>
                <c:ptCount val="1"/>
                <c:pt idx="0">
                  <c:v>LLDC: £279m</c:v>
                </c:pt>
              </c:strCache>
            </c:strRef>
          </c:tx>
          <c:spPr>
            <a:solidFill>
              <a:schemeClr val="accent4"/>
            </a:solidFill>
            <a:ln>
              <a:noFill/>
            </a:ln>
            <a:effectLst/>
          </c:spPr>
          <c:invertIfNegative val="0"/>
          <c:cat>
            <c:strRef>
              <c:f>'CANDIDATE BRIEFINGS'!$AN$27</c:f>
              <c:strCache>
                <c:ptCount val="1"/>
                <c:pt idx="0">
                  <c:v> 2020/21 Capital spending </c:v>
                </c:pt>
              </c:strCache>
            </c:strRef>
          </c:cat>
          <c:val>
            <c:numRef>
              <c:f>'CANDIDATE BRIEFINGS'!$AN$31</c:f>
              <c:numCache>
                <c:formatCode>_-* #,##0.0_-;\-* #,##0.0_-;_-* "-"??_-;_-@_-</c:formatCode>
                <c:ptCount val="1"/>
                <c:pt idx="0">
                  <c:v>0</c:v>
                </c:pt>
              </c:numCache>
            </c:numRef>
          </c:val>
          <c:extLst>
            <c:ext xmlns:c16="http://schemas.microsoft.com/office/drawing/2014/chart" uri="{C3380CC4-5D6E-409C-BE32-E72D297353CC}">
              <c16:uniqueId val="{00000003-32EA-4290-BB07-90A71093F08E}"/>
            </c:ext>
          </c:extLst>
        </c:ser>
        <c:ser>
          <c:idx val="4"/>
          <c:order val="4"/>
          <c:tx>
            <c:strRef>
              <c:f>'CANDIDATE BRIEFINGS'!$AM$32</c:f>
              <c:strCache>
                <c:ptCount val="1"/>
                <c:pt idx="0">
                  <c:v>LFC: £37m</c:v>
                </c:pt>
              </c:strCache>
            </c:strRef>
          </c:tx>
          <c:spPr>
            <a:solidFill>
              <a:schemeClr val="accent5"/>
            </a:solidFill>
            <a:ln>
              <a:noFill/>
            </a:ln>
            <a:effectLst/>
          </c:spPr>
          <c:invertIfNegative val="0"/>
          <c:cat>
            <c:strRef>
              <c:f>'CANDIDATE BRIEFINGS'!$AN$27</c:f>
              <c:strCache>
                <c:ptCount val="1"/>
                <c:pt idx="0">
                  <c:v> 2020/21 Capital spending </c:v>
                </c:pt>
              </c:strCache>
            </c:strRef>
          </c:cat>
          <c:val>
            <c:numRef>
              <c:f>'CANDIDATE BRIEFINGS'!$AN$32</c:f>
              <c:numCache>
                <c:formatCode>_-* #,##0.0_-;\-* #,##0.0_-;_-* "-"??_-;_-@_-</c:formatCode>
                <c:ptCount val="1"/>
                <c:pt idx="0">
                  <c:v>0</c:v>
                </c:pt>
              </c:numCache>
            </c:numRef>
          </c:val>
          <c:extLst>
            <c:ext xmlns:c16="http://schemas.microsoft.com/office/drawing/2014/chart" uri="{C3380CC4-5D6E-409C-BE32-E72D297353CC}">
              <c16:uniqueId val="{00000006-32EA-4290-BB07-90A71093F08E}"/>
            </c:ext>
          </c:extLst>
        </c:ser>
        <c:ser>
          <c:idx val="5"/>
          <c:order val="5"/>
          <c:tx>
            <c:strRef>
              <c:f>'CANDIDATE BRIEFINGS'!$AM$33</c:f>
              <c:strCache>
                <c:ptCount val="1"/>
                <c:pt idx="0">
                  <c:v>OPDC: £0m</c:v>
                </c:pt>
              </c:strCache>
            </c:strRef>
          </c:tx>
          <c:spPr>
            <a:solidFill>
              <a:schemeClr val="accent6"/>
            </a:solidFill>
            <a:ln>
              <a:noFill/>
            </a:ln>
            <a:effectLst/>
          </c:spPr>
          <c:invertIfNegative val="0"/>
          <c:cat>
            <c:strRef>
              <c:f>'CANDIDATE BRIEFINGS'!$AN$27</c:f>
              <c:strCache>
                <c:ptCount val="1"/>
                <c:pt idx="0">
                  <c:v> 2020/21 Capital spending </c:v>
                </c:pt>
              </c:strCache>
            </c:strRef>
          </c:cat>
          <c:val>
            <c:numRef>
              <c:f>'CANDIDATE BRIEFINGS'!$AN$33</c:f>
              <c:numCache>
                <c:formatCode>_-* #,##0.0_-;\-* #,##0.0_-;_-* "-"??_-;_-@_-</c:formatCode>
                <c:ptCount val="1"/>
                <c:pt idx="0">
                  <c:v>0</c:v>
                </c:pt>
              </c:numCache>
            </c:numRef>
          </c:val>
          <c:extLst>
            <c:ext xmlns:c16="http://schemas.microsoft.com/office/drawing/2014/chart" uri="{C3380CC4-5D6E-409C-BE32-E72D297353CC}">
              <c16:uniqueId val="{00000007-32EA-4290-BB07-90A71093F08E}"/>
            </c:ext>
          </c:extLst>
        </c:ser>
        <c:dLbls>
          <c:showLegendKey val="0"/>
          <c:showVal val="0"/>
          <c:showCatName val="0"/>
          <c:showSerName val="0"/>
          <c:showPercent val="0"/>
          <c:showBubbleSize val="0"/>
        </c:dLbls>
        <c:gapWidth val="150"/>
        <c:overlap val="100"/>
        <c:axId val="1192964840"/>
        <c:axId val="1192964512"/>
      </c:barChart>
      <c:catAx>
        <c:axId val="1192964840"/>
        <c:scaling>
          <c:orientation val="minMax"/>
        </c:scaling>
        <c:delete val="1"/>
        <c:axPos val="l"/>
        <c:numFmt formatCode="General" sourceLinked="1"/>
        <c:majorTickMark val="none"/>
        <c:minorTickMark val="none"/>
        <c:tickLblPos val="nextTo"/>
        <c:crossAx val="1192964512"/>
        <c:crosses val="autoZero"/>
        <c:auto val="1"/>
        <c:lblAlgn val="ctr"/>
        <c:lblOffset val="100"/>
        <c:noMultiLvlLbl val="0"/>
      </c:catAx>
      <c:valAx>
        <c:axId val="119296451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9648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3.png"/><Relationship Id="rId7"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364179</xdr:colOff>
      <xdr:row>13</xdr:row>
      <xdr:rowOff>118745</xdr:rowOff>
    </xdr:to>
    <xdr:pic>
      <xdr:nvPicPr>
        <xdr:cNvPr id="2" name="Picture 1">
          <a:extLst>
            <a:ext uri="{FF2B5EF4-FFF2-40B4-BE49-F238E27FC236}">
              <a16:creationId xmlns:a16="http://schemas.microsoft.com/office/drawing/2014/main" id="{6918F606-B205-45C5-8188-81858605A9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5972810" cy="2633345"/>
        </a:xfrm>
        <a:prstGeom prst="rect">
          <a:avLst/>
        </a:prstGeom>
        <a:noFill/>
      </xdr:spPr>
    </xdr:pic>
    <xdr:clientData/>
  </xdr:twoCellAnchor>
  <xdr:twoCellAnchor editAs="oneCell">
    <xdr:from>
      <xdr:col>13</xdr:col>
      <xdr:colOff>0</xdr:colOff>
      <xdr:row>1</xdr:row>
      <xdr:rowOff>0</xdr:rowOff>
    </xdr:from>
    <xdr:to>
      <xdr:col>17</xdr:col>
      <xdr:colOff>148251</xdr:colOff>
      <xdr:row>15</xdr:row>
      <xdr:rowOff>118745</xdr:rowOff>
    </xdr:to>
    <xdr:pic>
      <xdr:nvPicPr>
        <xdr:cNvPr id="3" name="Picture 2">
          <a:extLst>
            <a:ext uri="{FF2B5EF4-FFF2-40B4-BE49-F238E27FC236}">
              <a16:creationId xmlns:a16="http://schemas.microsoft.com/office/drawing/2014/main" id="{282A5BAF-3E9F-4768-AC61-B3CC5D0313E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190500"/>
          <a:ext cx="5946775" cy="3052445"/>
        </a:xfrm>
        <a:prstGeom prst="rect">
          <a:avLst/>
        </a:prstGeom>
        <a:noFill/>
      </xdr:spPr>
    </xdr:pic>
    <xdr:clientData/>
  </xdr:twoCellAnchor>
  <xdr:twoCellAnchor editAs="oneCell">
    <xdr:from>
      <xdr:col>37</xdr:col>
      <xdr:colOff>455543</xdr:colOff>
      <xdr:row>0</xdr:row>
      <xdr:rowOff>165652</xdr:rowOff>
    </xdr:from>
    <xdr:to>
      <xdr:col>40</xdr:col>
      <xdr:colOff>520864</xdr:colOff>
      <xdr:row>13</xdr:row>
      <xdr:rowOff>159302</xdr:rowOff>
    </xdr:to>
    <xdr:pic>
      <xdr:nvPicPr>
        <xdr:cNvPr id="4" name="Picture 3">
          <a:extLst>
            <a:ext uri="{FF2B5EF4-FFF2-40B4-BE49-F238E27FC236}">
              <a16:creationId xmlns:a16="http://schemas.microsoft.com/office/drawing/2014/main" id="{0B80F792-FD91-47C3-818C-01089C0E8DF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85478" y="165652"/>
          <a:ext cx="5449018" cy="2677215"/>
        </a:xfrm>
        <a:prstGeom prst="rect">
          <a:avLst/>
        </a:prstGeom>
        <a:noFill/>
      </xdr:spPr>
    </xdr:pic>
    <xdr:clientData/>
  </xdr:twoCellAnchor>
  <xdr:twoCellAnchor editAs="oneCell">
    <xdr:from>
      <xdr:col>47</xdr:col>
      <xdr:colOff>0</xdr:colOff>
      <xdr:row>1</xdr:row>
      <xdr:rowOff>0</xdr:rowOff>
    </xdr:from>
    <xdr:to>
      <xdr:col>51</xdr:col>
      <xdr:colOff>390146</xdr:colOff>
      <xdr:row>14</xdr:row>
      <xdr:rowOff>31750</xdr:rowOff>
    </xdr:to>
    <xdr:pic>
      <xdr:nvPicPr>
        <xdr:cNvPr id="5" name="Picture 4">
          <a:extLst>
            <a:ext uri="{FF2B5EF4-FFF2-40B4-BE49-F238E27FC236}">
              <a16:creationId xmlns:a16="http://schemas.microsoft.com/office/drawing/2014/main" id="{0E0C2F8A-0F55-4D73-9134-BE3D3358BEC2}"/>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441525" y="200025"/>
          <a:ext cx="4578350" cy="2755900"/>
        </a:xfrm>
        <a:prstGeom prst="rect">
          <a:avLst/>
        </a:prstGeom>
        <a:noFill/>
      </xdr:spPr>
    </xdr:pic>
    <xdr:clientData/>
  </xdr:twoCellAnchor>
  <xdr:twoCellAnchor>
    <xdr:from>
      <xdr:col>13</xdr:col>
      <xdr:colOff>57978</xdr:colOff>
      <xdr:row>38</xdr:row>
      <xdr:rowOff>140804</xdr:rowOff>
    </xdr:from>
    <xdr:to>
      <xdr:col>18</xdr:col>
      <xdr:colOff>393426</xdr:colOff>
      <xdr:row>59</xdr:row>
      <xdr:rowOff>46383</xdr:rowOff>
    </xdr:to>
    <xdr:graphicFrame macro="">
      <xdr:nvGraphicFramePr>
        <xdr:cNvPr id="9" name="Chart 8">
          <a:extLst>
            <a:ext uri="{FF2B5EF4-FFF2-40B4-BE49-F238E27FC236}">
              <a16:creationId xmlns:a16="http://schemas.microsoft.com/office/drawing/2014/main" id="{5081045B-A34B-4C51-98E5-9A30AF346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13</xdr:col>
      <xdr:colOff>1089164</xdr:colOff>
      <xdr:row>47</xdr:row>
      <xdr:rowOff>118593</xdr:rowOff>
    </xdr:from>
    <xdr:ext cx="2650435" cy="468013"/>
    <xdr:sp macro="" textlink="">
      <xdr:nvSpPr>
        <xdr:cNvPr id="10" name="TextBox 9">
          <a:extLst>
            <a:ext uri="{FF2B5EF4-FFF2-40B4-BE49-F238E27FC236}">
              <a16:creationId xmlns:a16="http://schemas.microsoft.com/office/drawing/2014/main" id="{65A2A841-5C72-419B-849C-D4F4A66ACD01}"/>
            </a:ext>
          </a:extLst>
        </xdr:cNvPr>
        <xdr:cNvSpPr txBox="1"/>
      </xdr:nvSpPr>
      <xdr:spPr>
        <a:xfrm>
          <a:off x="13455099" y="9502789"/>
          <a:ext cx="2650435"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2400" b="1"/>
            <a:t>£12.4bn</a:t>
          </a:r>
        </a:p>
      </xdr:txBody>
    </xdr:sp>
    <xdr:clientData/>
  </xdr:oneCellAnchor>
  <xdr:twoCellAnchor>
    <xdr:from>
      <xdr:col>46</xdr:col>
      <xdr:colOff>369093</xdr:colOff>
      <xdr:row>35</xdr:row>
      <xdr:rowOff>23813</xdr:rowOff>
    </xdr:from>
    <xdr:to>
      <xdr:col>54</xdr:col>
      <xdr:colOff>171449</xdr:colOff>
      <xdr:row>55</xdr:row>
      <xdr:rowOff>119892</xdr:rowOff>
    </xdr:to>
    <xdr:graphicFrame macro="">
      <xdr:nvGraphicFramePr>
        <xdr:cNvPr id="13" name="Chart 12">
          <a:extLst>
            <a:ext uri="{FF2B5EF4-FFF2-40B4-BE49-F238E27FC236}">
              <a16:creationId xmlns:a16="http://schemas.microsoft.com/office/drawing/2014/main" id="{26AF094A-0D85-4807-8EE2-0EEF1345E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47</xdr:col>
      <xdr:colOff>894160</xdr:colOff>
      <xdr:row>44</xdr:row>
      <xdr:rowOff>9579</xdr:rowOff>
    </xdr:from>
    <xdr:ext cx="2030016" cy="468013"/>
    <xdr:sp macro="" textlink="">
      <xdr:nvSpPr>
        <xdr:cNvPr id="14" name="TextBox 13">
          <a:extLst>
            <a:ext uri="{FF2B5EF4-FFF2-40B4-BE49-F238E27FC236}">
              <a16:creationId xmlns:a16="http://schemas.microsoft.com/office/drawing/2014/main" id="{42CEF619-5699-459E-B66F-0D29A0A042EC}"/>
            </a:ext>
          </a:extLst>
        </xdr:cNvPr>
        <xdr:cNvSpPr txBox="1"/>
      </xdr:nvSpPr>
      <xdr:spPr>
        <a:xfrm>
          <a:off x="41394460" y="8867829"/>
          <a:ext cx="2030016"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2400" b="1"/>
            <a:t>£5.0bn</a:t>
          </a:r>
        </a:p>
      </xdr:txBody>
    </xdr:sp>
    <xdr:clientData/>
  </xdr:oneCellAnchor>
  <xdr:twoCellAnchor>
    <xdr:from>
      <xdr:col>0</xdr:col>
      <xdr:colOff>197826</xdr:colOff>
      <xdr:row>27</xdr:row>
      <xdr:rowOff>29307</xdr:rowOff>
    </xdr:from>
    <xdr:to>
      <xdr:col>9</xdr:col>
      <xdr:colOff>65942</xdr:colOff>
      <xdr:row>35</xdr:row>
      <xdr:rowOff>38099</xdr:rowOff>
    </xdr:to>
    <xdr:graphicFrame macro="">
      <xdr:nvGraphicFramePr>
        <xdr:cNvPr id="32" name="Chart 31">
          <a:extLst>
            <a:ext uri="{FF2B5EF4-FFF2-40B4-BE49-F238E27FC236}">
              <a16:creationId xmlns:a16="http://schemas.microsoft.com/office/drawing/2014/main" id="{55088EC9-4187-4CE5-AF72-CA15F8FAB1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38</xdr:col>
      <xdr:colOff>0</xdr:colOff>
      <xdr:row>37</xdr:row>
      <xdr:rowOff>0</xdr:rowOff>
    </xdr:from>
    <xdr:to>
      <xdr:col>44</xdr:col>
      <xdr:colOff>305146</xdr:colOff>
      <xdr:row>46</xdr:row>
      <xdr:rowOff>120851</xdr:rowOff>
    </xdr:to>
    <xdr:graphicFrame macro="">
      <xdr:nvGraphicFramePr>
        <xdr:cNvPr id="33" name="Chart 32">
          <a:extLst>
            <a:ext uri="{FF2B5EF4-FFF2-40B4-BE49-F238E27FC236}">
              <a16:creationId xmlns:a16="http://schemas.microsoft.com/office/drawing/2014/main" id="{975B75F7-E9E3-4D06-BAE0-C130F375D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473698</xdr:colOff>
      <xdr:row>44</xdr:row>
      <xdr:rowOff>0</xdr:rowOff>
    </xdr:from>
    <xdr:to>
      <xdr:col>14</xdr:col>
      <xdr:colOff>810058</xdr:colOff>
      <xdr:row>79</xdr:row>
      <xdr:rowOff>87923</xdr:rowOff>
    </xdr:to>
    <xdr:pic>
      <xdr:nvPicPr>
        <xdr:cNvPr id="2" name="Picture 1">
          <a:extLst>
            <a:ext uri="{FF2B5EF4-FFF2-40B4-BE49-F238E27FC236}">
              <a16:creationId xmlns:a16="http://schemas.microsoft.com/office/drawing/2014/main" id="{E03CD6E9-2BE0-47B0-A991-B73D51452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4673" y="8743950"/>
          <a:ext cx="5746560" cy="681257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473698</xdr:colOff>
      <xdr:row>43</xdr:row>
      <xdr:rowOff>0</xdr:rowOff>
    </xdr:from>
    <xdr:to>
      <xdr:col>13</xdr:col>
      <xdr:colOff>1882301</xdr:colOff>
      <xdr:row>78</xdr:row>
      <xdr:rowOff>87923</xdr:rowOff>
    </xdr:to>
    <xdr:pic>
      <xdr:nvPicPr>
        <xdr:cNvPr id="2" name="Picture 1">
          <a:extLst>
            <a:ext uri="{FF2B5EF4-FFF2-40B4-BE49-F238E27FC236}">
              <a16:creationId xmlns:a16="http://schemas.microsoft.com/office/drawing/2014/main" id="{0F63E5C3-56E0-4DCA-B956-D2A9F046A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4673" y="8410575"/>
          <a:ext cx="5742478" cy="681257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0SHARE%20F&amp;P/%60SHARED%20Strategic%20Finance/2014-15Budgetandcapitalspendingplan/Grantdata/2014-15Settlement/14-15Headlineda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60SHARED%20Strategic%20Finance/2012-13%20Budget%20and%20CapitalSpendingPlan/BudgetSubmissionsJuly/Policing%20Plan%20Update%20Appces%202%20-%204%20(29%20July%20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pnas01\Shared\Documents%20and%20Settings\shakil.m.rahman\Local%20Settings\Temporary%20Internet%20Files\OLK313\CSF%20Budget%20build%20spreadsheet%2011-12%20DRAFT%20BUDGET%20VERSION%200802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a59\erdms_sjlg\LGF\LGF%202%20Revenue\SSA%20calculations\2007-08\Models\Copies\Copy%20of%20NF1_2007-2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ducate/1-SCHOOLS/Schools/08-09%20Files/0809%20Year%20End/0809%20Carry%20Forwards/Check%20Balances%20JDE%20Doc%20no%20162319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mmitchell/Local%20Settings/Temporary%20Internet%20Files/Draftreturns/Barne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hpnas01\shared\Corporate%20Finance\Central\Rajan's%20Folder\Hillingdon\2006-07%20workings%20RevAccounts-GF%20and%20Revised%20HR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jasbir.sandhu/Local%20Settings/Temporary%20Internet%20Files/OLK4B/Copy%20of%202011-12%20and%202012-13%20Control%20Budget%20as%20at%2004-01-1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hdabasia/Local%20Settings/Temporary%20Internet%20Files/OLK7C/Subjective%20Apportions%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rporate%20Finance/Cenfin/1.Closure%20of%20Accounts-2008.09/STRGL/STRGL%202008-09%20Working%20Paper%20New.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oladapo.shonola/Local%20Settings/Temporary%20Internet%20Files/OLK2A/2011-12%20Control%20Budget%20as%20at%2001-08-201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Kevin/AppData/Local/Microsoft/Windows/Temporary%20Internet%20Files/Content.Outlook/6CMIOUES/GUIDES/Closure%20of%20Accounts%202005-2006/Working%20Papers/X.%20Financial%20Statements/SoA%202005-06%20p%2021%20on%20post%20audi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hpnas01\shared\Corporate%20Finance\Cenfin\BV%20Structure\All%20Cost%20centres%20Version%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David%20willis/Local%20Settings/Temporary%20Internet%20Files/OLK23/Operations%20Tracker%20v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RA\Police\Police%20Finance\04_Police%20Allocation%20Formula\02_PFF%20Models\pff2013%20-%20WORKING%20MODEL\20121101%20PFFModel_1314_Pre%20August%20Statement_TJ%20AGREED%20WITH%20DCL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20Group%20Accounts/THH/Group%20Consolidation%202009-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rporate%20Finance/Cenfin/1.Closure%20of%20Accounts-2008.09/STRGL/STRGL%202008-09%20Final%20Working%20Pap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mmitchell/Local%20Settings/Temporary%20Internet%20Files/Draftreturns/CityofLond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hpnas01\shared\Childrens%20Services\CS%20Finance\Educate\1-SCHOOLS\Schools\08-09%20Files\0809%20Year%20End\0809%20Carry%20Forwards\Check%20Balances%20JDE%20Doc%20no%2016231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Programme"/>
      <sheetName val="Projects - Summary"/>
      <sheetName val="Projects (Q1)"/>
      <sheetName val="Projects (Q2)"/>
      <sheetName val="Projects (Q3 - on going)"/>
      <sheetName val="RAG Status"/>
      <sheetName val="Budget (Original)"/>
      <sheetName val="Budget (Revised)"/>
      <sheetName val="Dashboard"/>
      <sheetName val="Sheet1"/>
      <sheetName val="Budget - Revenue (2019-20)"/>
      <sheetName val="Transaction List (revenue)"/>
      <sheetName val="Budget - Capital (2019-20)"/>
      <sheetName val="Transaction List (capital)"/>
      <sheetName val="Transaction List (GLAP"/>
      <sheetName val="Budget - Revenue (2018-19)"/>
      <sheetName val="Transac. List (18-19 Outturn)"/>
      <sheetName val="Mgt Acc Expand (18-19 Outturn)"/>
      <sheetName val="MD2338"/>
      <sheetName val="Decisions"/>
      <sheetName val="DD2347"/>
      <sheetName val="DD2297"/>
      <sheetName val="DD2202"/>
      <sheetName val="PO Analysis --------"/>
      <sheetName val="Place"/>
      <sheetName val="Place (Summary - Pivot)"/>
      <sheetName val="Connectivity"/>
      <sheetName val="Connectivity (Summary - Pivot)"/>
      <sheetName val="Economy"/>
      <sheetName val="Economy (Summary - Pivot)"/>
      <sheetName val="Activation"/>
      <sheetName val="Activation (Summary - Pivot)"/>
      <sheetName val="Promotion"/>
      <sheetName val="Promotion (Summary - Pivot)"/>
      <sheetName val="Corporate Costs"/>
      <sheetName val="Corporate (Summary - Pivot)"/>
      <sheetName val="Non RD Budget Codes"/>
      <sheetName val="SUMMARY_TABLE"/>
      <sheetName val="ET_TABLE"/>
      <sheetName val="HIF Expenditure (summary)"/>
      <sheetName val="WBS Structure"/>
      <sheetName val="Calendar (Team)"/>
      <sheetName val="Data"/>
      <sheetName val="Sheet3"/>
      <sheetName val="Sheet2"/>
      <sheetName val="HIS19FIN(A)"/>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6">
          <cell r="Q6"/>
        </row>
      </sheetData>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17">
          <cell r="Q17">
            <v>1266</v>
          </cell>
        </row>
      </sheetData>
      <sheetData sheetId="53"/>
      <sheetData sheetId="54"/>
      <sheetData sheetId="55"/>
      <sheetData sheetId="56"/>
      <sheetData sheetId="57"/>
      <sheetData sheetId="58"/>
      <sheetData sheetId="59"/>
      <sheetData sheetId="6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 Dropdown"/>
      <sheetName val="Adj 1314 Data"/>
      <sheetName val="1415 Data"/>
      <sheetName val="1516 Data"/>
    </sheetNames>
    <sheetDataSet>
      <sheetData sheetId="0">
        <row r="4">
          <cell r="J4" t="str">
            <v>Total England</v>
          </cell>
        </row>
        <row r="6">
          <cell r="J6" t="str">
            <v>London Area</v>
          </cell>
        </row>
        <row r="7">
          <cell r="J7" t="str">
            <v>Metropolitan Areas</v>
          </cell>
        </row>
        <row r="8">
          <cell r="J8" t="str">
            <v>Shire Areas</v>
          </cell>
        </row>
        <row r="10">
          <cell r="J10" t="str">
            <v>Inner London Boroughs</v>
          </cell>
        </row>
        <row r="11">
          <cell r="J11" t="str">
            <v>Outer London Boroughs</v>
          </cell>
        </row>
        <row r="12">
          <cell r="J12" t="str">
            <v>London Boroughs</v>
          </cell>
        </row>
        <row r="13">
          <cell r="J13" t="str">
            <v>GLA</v>
          </cell>
        </row>
        <row r="15">
          <cell r="J15" t="str">
            <v>Metropolitan Districts</v>
          </cell>
        </row>
        <row r="16">
          <cell r="J16" t="str">
            <v>Metropolitan Fire Authorities</v>
          </cell>
        </row>
        <row r="18">
          <cell r="J18" t="str">
            <v>Shire Counties with Fire</v>
          </cell>
        </row>
        <row r="19">
          <cell r="J19" t="str">
            <v>Shire Counties without Fire</v>
          </cell>
        </row>
        <row r="20">
          <cell r="J20" t="str">
            <v>Shire Unitaries with Fire</v>
          </cell>
        </row>
        <row r="21">
          <cell r="J21" t="str">
            <v>Shire Unitaries without Fire</v>
          </cell>
        </row>
        <row r="22">
          <cell r="J22" t="str">
            <v>Shire Districts</v>
          </cell>
        </row>
        <row r="23">
          <cell r="J23" t="str">
            <v>Shire Fire Authorities</v>
          </cell>
        </row>
        <row r="25">
          <cell r="J25" t="str">
            <v>Adur</v>
          </cell>
        </row>
        <row r="26">
          <cell r="J26" t="str">
            <v>Allerdale</v>
          </cell>
        </row>
        <row r="27">
          <cell r="J27" t="str">
            <v>Amber Valley</v>
          </cell>
        </row>
        <row r="28">
          <cell r="J28" t="str">
            <v>Arun</v>
          </cell>
        </row>
        <row r="29">
          <cell r="J29" t="str">
            <v>Ashfield</v>
          </cell>
        </row>
        <row r="30">
          <cell r="J30" t="str">
            <v>Ashford</v>
          </cell>
        </row>
        <row r="31">
          <cell r="J31" t="str">
            <v>Avon Fire</v>
          </cell>
        </row>
        <row r="32">
          <cell r="J32" t="str">
            <v>Aylesbury Vale</v>
          </cell>
        </row>
        <row r="33">
          <cell r="J33" t="str">
            <v>Babergh</v>
          </cell>
        </row>
        <row r="34">
          <cell r="J34" t="str">
            <v>Barking and Dagenham</v>
          </cell>
        </row>
        <row r="35">
          <cell r="J35" t="str">
            <v>Barnet</v>
          </cell>
        </row>
        <row r="36">
          <cell r="J36" t="str">
            <v>Barnsley</v>
          </cell>
        </row>
        <row r="37">
          <cell r="J37" t="str">
            <v>Barrow-in-Furness</v>
          </cell>
        </row>
        <row r="38">
          <cell r="J38" t="str">
            <v>Basildon</v>
          </cell>
        </row>
        <row r="39">
          <cell r="J39" t="str">
            <v>Basingstoke and Deane</v>
          </cell>
        </row>
        <row r="40">
          <cell r="J40" t="str">
            <v>Bassetlaw</v>
          </cell>
        </row>
        <row r="41">
          <cell r="J41" t="str">
            <v>Bath &amp; North East Somerset</v>
          </cell>
        </row>
        <row r="42">
          <cell r="J42" t="str">
            <v>Bedford</v>
          </cell>
        </row>
        <row r="43">
          <cell r="J43" t="str">
            <v>Bedfordshire Fire</v>
          </cell>
        </row>
        <row r="44">
          <cell r="J44" t="str">
            <v>Berkshire Fire</v>
          </cell>
        </row>
        <row r="45">
          <cell r="J45" t="str">
            <v>Bexley</v>
          </cell>
        </row>
        <row r="46">
          <cell r="J46" t="str">
            <v>Birmingham</v>
          </cell>
        </row>
        <row r="47">
          <cell r="J47" t="str">
            <v>Blaby</v>
          </cell>
        </row>
        <row r="48">
          <cell r="J48" t="str">
            <v>Blackburn with Darwen</v>
          </cell>
        </row>
        <row r="49">
          <cell r="J49" t="str">
            <v>Blackpool</v>
          </cell>
        </row>
        <row r="50">
          <cell r="J50" t="str">
            <v>Bolsover</v>
          </cell>
        </row>
        <row r="51">
          <cell r="J51" t="str">
            <v>Bolton</v>
          </cell>
        </row>
        <row r="52">
          <cell r="J52" t="str">
            <v>Boston</v>
          </cell>
        </row>
        <row r="53">
          <cell r="J53" t="str">
            <v>Bournemouth</v>
          </cell>
        </row>
        <row r="54">
          <cell r="J54" t="str">
            <v>Bracknell Forest</v>
          </cell>
        </row>
        <row r="55">
          <cell r="J55" t="str">
            <v>Bradford</v>
          </cell>
        </row>
        <row r="56">
          <cell r="J56" t="str">
            <v>Braintree</v>
          </cell>
        </row>
        <row r="57">
          <cell r="J57" t="str">
            <v>Breckland</v>
          </cell>
        </row>
        <row r="58">
          <cell r="J58" t="str">
            <v>Brent</v>
          </cell>
        </row>
        <row r="59">
          <cell r="J59" t="str">
            <v>Brentwood</v>
          </cell>
        </row>
        <row r="60">
          <cell r="J60" t="str">
            <v>Brighton &amp; Hove</v>
          </cell>
        </row>
        <row r="61">
          <cell r="J61" t="str">
            <v>Bristol</v>
          </cell>
        </row>
        <row r="62">
          <cell r="J62" t="str">
            <v>Broadland</v>
          </cell>
        </row>
        <row r="63">
          <cell r="J63" t="str">
            <v>Bromley</v>
          </cell>
        </row>
        <row r="64">
          <cell r="J64" t="str">
            <v>Bromsgrove</v>
          </cell>
        </row>
        <row r="65">
          <cell r="J65" t="str">
            <v>Broxbourne</v>
          </cell>
        </row>
        <row r="66">
          <cell r="J66" t="str">
            <v>Broxtowe</v>
          </cell>
        </row>
        <row r="67">
          <cell r="J67" t="str">
            <v>Buckinghamshire</v>
          </cell>
        </row>
        <row r="68">
          <cell r="J68" t="str">
            <v>Buckinghamshire Fire</v>
          </cell>
        </row>
        <row r="69">
          <cell r="J69" t="str">
            <v>Burnley</v>
          </cell>
        </row>
        <row r="70">
          <cell r="J70" t="str">
            <v>Bury</v>
          </cell>
        </row>
        <row r="71">
          <cell r="J71" t="str">
            <v>Calderdale</v>
          </cell>
        </row>
        <row r="72">
          <cell r="J72" t="str">
            <v>Cambridge</v>
          </cell>
        </row>
        <row r="73">
          <cell r="J73" t="str">
            <v>Cambridgeshire</v>
          </cell>
        </row>
        <row r="74">
          <cell r="J74" t="str">
            <v>Cambridgeshire Fire</v>
          </cell>
        </row>
        <row r="75">
          <cell r="J75" t="str">
            <v>Camden</v>
          </cell>
        </row>
        <row r="76">
          <cell r="J76" t="str">
            <v>Cannock Chase</v>
          </cell>
        </row>
        <row r="77">
          <cell r="J77" t="str">
            <v>Canterbury</v>
          </cell>
        </row>
        <row r="78">
          <cell r="J78" t="str">
            <v>Carlisle</v>
          </cell>
        </row>
        <row r="79">
          <cell r="J79" t="str">
            <v>Castle Point</v>
          </cell>
        </row>
        <row r="80">
          <cell r="J80" t="str">
            <v>Central Bedfordshire</v>
          </cell>
        </row>
        <row r="81">
          <cell r="J81" t="str">
            <v>Charnwood</v>
          </cell>
        </row>
        <row r="82">
          <cell r="J82" t="str">
            <v>Chelmsford</v>
          </cell>
        </row>
        <row r="83">
          <cell r="J83" t="str">
            <v>Cheltenham</v>
          </cell>
        </row>
        <row r="84">
          <cell r="J84" t="str">
            <v>Cherwell</v>
          </cell>
        </row>
        <row r="85">
          <cell r="J85" t="str">
            <v>Cheshire East</v>
          </cell>
        </row>
        <row r="86">
          <cell r="J86" t="str">
            <v>Cheshire Fire</v>
          </cell>
        </row>
        <row r="87">
          <cell r="J87" t="str">
            <v>Cheshire West and Chester</v>
          </cell>
        </row>
        <row r="88">
          <cell r="J88" t="str">
            <v>Chesterfield</v>
          </cell>
        </row>
        <row r="89">
          <cell r="J89" t="str">
            <v>Chichester</v>
          </cell>
        </row>
        <row r="90">
          <cell r="J90" t="str">
            <v>Chiltern</v>
          </cell>
        </row>
        <row r="91">
          <cell r="J91" t="str">
            <v>Chorley</v>
          </cell>
        </row>
        <row r="92">
          <cell r="J92" t="str">
            <v>Christchurch</v>
          </cell>
        </row>
        <row r="93">
          <cell r="J93" t="str">
            <v>City of London - non-police</v>
          </cell>
        </row>
        <row r="94">
          <cell r="J94" t="str">
            <v>Cleveland Fire</v>
          </cell>
        </row>
        <row r="95">
          <cell r="J95" t="str">
            <v>Colchester</v>
          </cell>
        </row>
        <row r="96">
          <cell r="J96" t="str">
            <v>Copeland</v>
          </cell>
        </row>
        <row r="97">
          <cell r="J97" t="str">
            <v>Corby</v>
          </cell>
        </row>
        <row r="98">
          <cell r="J98" t="str">
            <v>Cornwall</v>
          </cell>
        </row>
        <row r="99">
          <cell r="J99" t="str">
            <v>Cotswold</v>
          </cell>
        </row>
        <row r="100">
          <cell r="J100" t="str">
            <v>Coventry</v>
          </cell>
        </row>
        <row r="101">
          <cell r="J101" t="str">
            <v>Craven</v>
          </cell>
        </row>
        <row r="102">
          <cell r="J102" t="str">
            <v>Crawley</v>
          </cell>
        </row>
        <row r="103">
          <cell r="J103" t="str">
            <v>Croydon</v>
          </cell>
        </row>
        <row r="104">
          <cell r="J104" t="str">
            <v>Cumbria</v>
          </cell>
        </row>
        <row r="105">
          <cell r="J105" t="str">
            <v>Dacorum</v>
          </cell>
        </row>
        <row r="106">
          <cell r="J106" t="str">
            <v>Darlington</v>
          </cell>
        </row>
        <row r="107">
          <cell r="J107" t="str">
            <v>Dartford</v>
          </cell>
        </row>
        <row r="108">
          <cell r="J108" t="str">
            <v>Daventry</v>
          </cell>
        </row>
        <row r="109">
          <cell r="J109" t="str">
            <v>Derby</v>
          </cell>
        </row>
        <row r="110">
          <cell r="J110" t="str">
            <v>Derbyshire</v>
          </cell>
        </row>
        <row r="111">
          <cell r="J111" t="str">
            <v>Derbyshire Dales</v>
          </cell>
        </row>
        <row r="112">
          <cell r="J112" t="str">
            <v>Derbyshire Fire</v>
          </cell>
        </row>
        <row r="113">
          <cell r="J113" t="str">
            <v>Devon</v>
          </cell>
        </row>
        <row r="114">
          <cell r="J114" t="str">
            <v>Devon &amp; Somerset Fire</v>
          </cell>
        </row>
        <row r="115">
          <cell r="J115" t="str">
            <v>Doncaster</v>
          </cell>
        </row>
        <row r="116">
          <cell r="J116" t="str">
            <v>Dorset</v>
          </cell>
        </row>
        <row r="117">
          <cell r="J117" t="str">
            <v>Dorset Fire</v>
          </cell>
        </row>
        <row r="118">
          <cell r="J118" t="str">
            <v>Dover</v>
          </cell>
        </row>
        <row r="119">
          <cell r="J119" t="str">
            <v>Dudley</v>
          </cell>
        </row>
        <row r="120">
          <cell r="J120" t="str">
            <v>Durham</v>
          </cell>
        </row>
        <row r="121">
          <cell r="J121" t="str">
            <v>Durham Fire</v>
          </cell>
        </row>
        <row r="122">
          <cell r="J122" t="str">
            <v>Ealing</v>
          </cell>
        </row>
        <row r="123">
          <cell r="J123" t="str">
            <v>East Cambridgeshire</v>
          </cell>
        </row>
        <row r="124">
          <cell r="J124" t="str">
            <v>East Devon</v>
          </cell>
        </row>
        <row r="125">
          <cell r="J125" t="str">
            <v>East Dorset</v>
          </cell>
        </row>
        <row r="126">
          <cell r="J126" t="str">
            <v>East Hampshire</v>
          </cell>
        </row>
        <row r="127">
          <cell r="J127" t="str">
            <v>East Hertfordshire</v>
          </cell>
        </row>
        <row r="128">
          <cell r="J128" t="str">
            <v>East Lindsey</v>
          </cell>
        </row>
        <row r="129">
          <cell r="J129" t="str">
            <v>East Northamptonshire</v>
          </cell>
        </row>
        <row r="130">
          <cell r="J130" t="str">
            <v>East Riding of Yorkshire</v>
          </cell>
        </row>
        <row r="131">
          <cell r="J131" t="str">
            <v>East Staffordshire</v>
          </cell>
        </row>
        <row r="132">
          <cell r="J132" t="str">
            <v>East Sussex</v>
          </cell>
        </row>
        <row r="133">
          <cell r="J133" t="str">
            <v>East Sussex Fire</v>
          </cell>
        </row>
        <row r="134">
          <cell r="J134" t="str">
            <v>Eastbourne</v>
          </cell>
        </row>
        <row r="135">
          <cell r="J135" t="str">
            <v>Eastleigh</v>
          </cell>
        </row>
        <row r="136">
          <cell r="J136" t="str">
            <v>Eden</v>
          </cell>
        </row>
        <row r="137">
          <cell r="J137" t="str">
            <v>Elmbridge</v>
          </cell>
        </row>
        <row r="138">
          <cell r="J138" t="str">
            <v>Enfield</v>
          </cell>
        </row>
        <row r="139">
          <cell r="J139" t="str">
            <v>Epping Forest</v>
          </cell>
        </row>
        <row r="140">
          <cell r="J140" t="str">
            <v>Epsom and Ewell</v>
          </cell>
        </row>
        <row r="141">
          <cell r="J141" t="str">
            <v>Erewash</v>
          </cell>
        </row>
        <row r="142">
          <cell r="J142" t="str">
            <v>Essex</v>
          </cell>
        </row>
        <row r="143">
          <cell r="J143" t="str">
            <v>Essex Fire</v>
          </cell>
        </row>
        <row r="144">
          <cell r="J144" t="str">
            <v>Exeter</v>
          </cell>
        </row>
        <row r="145">
          <cell r="J145" t="str">
            <v>Fareham</v>
          </cell>
        </row>
        <row r="146">
          <cell r="J146" t="str">
            <v>Fenland</v>
          </cell>
        </row>
        <row r="147">
          <cell r="J147" t="str">
            <v>Forest Heath</v>
          </cell>
        </row>
        <row r="148">
          <cell r="J148" t="str">
            <v>Forest of Dean</v>
          </cell>
        </row>
        <row r="149">
          <cell r="J149" t="str">
            <v>Fylde</v>
          </cell>
        </row>
        <row r="150">
          <cell r="J150" t="str">
            <v>Gateshead</v>
          </cell>
        </row>
        <row r="151">
          <cell r="J151" t="str">
            <v>Gedling</v>
          </cell>
        </row>
        <row r="152">
          <cell r="J152" t="str">
            <v>GLA - fire</v>
          </cell>
        </row>
        <row r="153">
          <cell r="J153" t="str">
            <v>GLA - mayor and misc</v>
          </cell>
        </row>
        <row r="154">
          <cell r="J154" t="str">
            <v>Gloucester</v>
          </cell>
        </row>
        <row r="155">
          <cell r="J155" t="str">
            <v>Gloucestershire</v>
          </cell>
        </row>
        <row r="156">
          <cell r="J156" t="str">
            <v>Gosport</v>
          </cell>
        </row>
        <row r="157">
          <cell r="J157" t="str">
            <v>Gravesham</v>
          </cell>
        </row>
        <row r="158">
          <cell r="J158" t="str">
            <v>Great Yarmouth</v>
          </cell>
        </row>
        <row r="159">
          <cell r="J159" t="str">
            <v>Greater Manchester Fire</v>
          </cell>
        </row>
        <row r="160">
          <cell r="J160" t="str">
            <v>Greenwich</v>
          </cell>
        </row>
        <row r="161">
          <cell r="J161" t="str">
            <v>Guildford</v>
          </cell>
        </row>
        <row r="162">
          <cell r="J162" t="str">
            <v>Hackney</v>
          </cell>
        </row>
        <row r="163">
          <cell r="J163" t="str">
            <v>Halton</v>
          </cell>
        </row>
        <row r="164">
          <cell r="J164" t="str">
            <v>Hambleton</v>
          </cell>
        </row>
        <row r="165">
          <cell r="J165" t="str">
            <v>Hammersmith and Fulham</v>
          </cell>
        </row>
        <row r="166">
          <cell r="J166" t="str">
            <v>Hampshire</v>
          </cell>
        </row>
        <row r="167">
          <cell r="J167" t="str">
            <v>Hampshire Fire</v>
          </cell>
        </row>
        <row r="168">
          <cell r="J168" t="str">
            <v>Harborough</v>
          </cell>
        </row>
        <row r="169">
          <cell r="J169" t="str">
            <v>Haringey</v>
          </cell>
        </row>
        <row r="170">
          <cell r="J170" t="str">
            <v>Harlow</v>
          </cell>
        </row>
        <row r="171">
          <cell r="J171" t="str">
            <v>Harrogate</v>
          </cell>
        </row>
        <row r="172">
          <cell r="J172" t="str">
            <v>Harrow</v>
          </cell>
        </row>
        <row r="173">
          <cell r="J173" t="str">
            <v>Hart</v>
          </cell>
        </row>
        <row r="174">
          <cell r="J174" t="str">
            <v>Hartlepool</v>
          </cell>
        </row>
        <row r="175">
          <cell r="J175" t="str">
            <v>Hastings</v>
          </cell>
        </row>
        <row r="176">
          <cell r="J176" t="str">
            <v>Havant</v>
          </cell>
        </row>
        <row r="177">
          <cell r="J177" t="str">
            <v>Havering</v>
          </cell>
        </row>
        <row r="178">
          <cell r="J178" t="str">
            <v>Hereford and Worcester Fire</v>
          </cell>
        </row>
        <row r="179">
          <cell r="J179" t="str">
            <v>Herefordshire</v>
          </cell>
        </row>
        <row r="180">
          <cell r="J180" t="str">
            <v>Hertfordshire</v>
          </cell>
        </row>
        <row r="181">
          <cell r="J181" t="str">
            <v>Hertsmere</v>
          </cell>
        </row>
        <row r="182">
          <cell r="J182" t="str">
            <v>High Peak</v>
          </cell>
        </row>
        <row r="183">
          <cell r="J183" t="str">
            <v>Hillingdon</v>
          </cell>
        </row>
        <row r="184">
          <cell r="J184" t="str">
            <v>Hinckley and Bosworth</v>
          </cell>
        </row>
        <row r="185">
          <cell r="J185" t="str">
            <v>Horsham</v>
          </cell>
        </row>
        <row r="186">
          <cell r="J186" t="str">
            <v>Hounslow</v>
          </cell>
        </row>
        <row r="187">
          <cell r="J187" t="str">
            <v>Humberside Fire</v>
          </cell>
        </row>
        <row r="188">
          <cell r="J188" t="str">
            <v>Huntingdonshire</v>
          </cell>
        </row>
        <row r="189">
          <cell r="J189" t="str">
            <v>Hyndburn</v>
          </cell>
        </row>
        <row r="190">
          <cell r="J190" t="str">
            <v>Ipswich</v>
          </cell>
        </row>
        <row r="191">
          <cell r="J191" t="str">
            <v>Isle of Wight</v>
          </cell>
        </row>
        <row r="192">
          <cell r="J192" t="str">
            <v>Isles of Scilly</v>
          </cell>
        </row>
        <row r="193">
          <cell r="J193" t="str">
            <v>Islington</v>
          </cell>
        </row>
        <row r="194">
          <cell r="J194" t="str">
            <v>Kensington and Chelsea</v>
          </cell>
        </row>
        <row r="195">
          <cell r="J195" t="str">
            <v>Kent</v>
          </cell>
        </row>
        <row r="196">
          <cell r="J196" t="str">
            <v>Kent Fire</v>
          </cell>
        </row>
        <row r="197">
          <cell r="J197" t="str">
            <v>Kettering</v>
          </cell>
        </row>
        <row r="198">
          <cell r="J198" t="str">
            <v>Kings Lynn and West Norfolk</v>
          </cell>
        </row>
        <row r="199">
          <cell r="J199" t="str">
            <v>Kingston upon Hull</v>
          </cell>
        </row>
        <row r="200">
          <cell r="J200" t="str">
            <v>Kingston upon Thames</v>
          </cell>
        </row>
        <row r="201">
          <cell r="J201" t="str">
            <v>Kirklees</v>
          </cell>
        </row>
        <row r="202">
          <cell r="J202" t="str">
            <v>Knowsley</v>
          </cell>
        </row>
        <row r="203">
          <cell r="J203" t="str">
            <v>Lambeth</v>
          </cell>
        </row>
        <row r="204">
          <cell r="J204" t="str">
            <v>Lancashire</v>
          </cell>
        </row>
        <row r="205">
          <cell r="J205" t="str">
            <v>Lancashire Fire</v>
          </cell>
        </row>
        <row r="206">
          <cell r="J206" t="str">
            <v>Lancaster</v>
          </cell>
        </row>
        <row r="207">
          <cell r="J207" t="str">
            <v>Leeds</v>
          </cell>
        </row>
        <row r="208">
          <cell r="J208" t="str">
            <v>Leicester</v>
          </cell>
        </row>
        <row r="209">
          <cell r="J209" t="str">
            <v>Leicestershire</v>
          </cell>
        </row>
        <row r="210">
          <cell r="J210" t="str">
            <v>Leicestershire Fire</v>
          </cell>
        </row>
        <row r="211">
          <cell r="J211" t="str">
            <v>Lewes</v>
          </cell>
        </row>
        <row r="212">
          <cell r="J212" t="str">
            <v>Lewisham</v>
          </cell>
        </row>
        <row r="213">
          <cell r="J213" t="str">
            <v>Lichfield</v>
          </cell>
        </row>
        <row r="214">
          <cell r="J214" t="str">
            <v>Lincoln</v>
          </cell>
        </row>
        <row r="215">
          <cell r="J215" t="str">
            <v>Lincolnshire</v>
          </cell>
        </row>
        <row r="216">
          <cell r="J216" t="str">
            <v>Liverpool</v>
          </cell>
        </row>
        <row r="217">
          <cell r="J217" t="str">
            <v>Luton</v>
          </cell>
        </row>
        <row r="218">
          <cell r="J218" t="str">
            <v>Maidstone</v>
          </cell>
        </row>
        <row r="219">
          <cell r="J219" t="str">
            <v>Maldon</v>
          </cell>
        </row>
        <row r="220">
          <cell r="J220" t="str">
            <v>Malvern Hills</v>
          </cell>
        </row>
        <row r="221">
          <cell r="J221" t="str">
            <v>Manchester</v>
          </cell>
        </row>
        <row r="222">
          <cell r="J222" t="str">
            <v>Mansfield</v>
          </cell>
        </row>
        <row r="223">
          <cell r="J223" t="str">
            <v>Medway</v>
          </cell>
        </row>
        <row r="224">
          <cell r="J224" t="str">
            <v>Melton</v>
          </cell>
        </row>
        <row r="225">
          <cell r="J225" t="str">
            <v>Mendip</v>
          </cell>
        </row>
        <row r="226">
          <cell r="J226" t="str">
            <v>Merseyside Fire</v>
          </cell>
        </row>
        <row r="227">
          <cell r="J227" t="str">
            <v>Merton</v>
          </cell>
        </row>
        <row r="228">
          <cell r="J228" t="str">
            <v>Mid Devon</v>
          </cell>
        </row>
        <row r="229">
          <cell r="J229" t="str">
            <v>Mid Suffolk</v>
          </cell>
        </row>
        <row r="230">
          <cell r="J230" t="str">
            <v>Mid Sussex</v>
          </cell>
        </row>
        <row r="231">
          <cell r="J231" t="str">
            <v>Middlesbrough</v>
          </cell>
        </row>
        <row r="232">
          <cell r="J232" t="str">
            <v>Milton Keynes</v>
          </cell>
        </row>
        <row r="233">
          <cell r="J233" t="str">
            <v>Mole Valley</v>
          </cell>
        </row>
        <row r="234">
          <cell r="J234" t="str">
            <v>New Forest</v>
          </cell>
        </row>
        <row r="235">
          <cell r="J235" t="str">
            <v>Newark and Sherwood</v>
          </cell>
        </row>
        <row r="236">
          <cell r="J236" t="str">
            <v>Newcastle upon Tyne</v>
          </cell>
        </row>
        <row r="237">
          <cell r="J237" t="str">
            <v>Newcastle-under-Lyme</v>
          </cell>
        </row>
        <row r="238">
          <cell r="J238" t="str">
            <v>Newham</v>
          </cell>
        </row>
        <row r="239">
          <cell r="J239" t="str">
            <v>Norfolk</v>
          </cell>
        </row>
        <row r="240">
          <cell r="J240" t="str">
            <v>North Devon</v>
          </cell>
        </row>
        <row r="241">
          <cell r="J241" t="str">
            <v>North Dorset</v>
          </cell>
        </row>
        <row r="242">
          <cell r="J242" t="str">
            <v>North East Derbyshire</v>
          </cell>
        </row>
        <row r="243">
          <cell r="J243" t="str">
            <v>North East Lincolnshire</v>
          </cell>
        </row>
        <row r="244">
          <cell r="J244" t="str">
            <v>North Hertfordshire</v>
          </cell>
        </row>
        <row r="245">
          <cell r="J245" t="str">
            <v>North Kesteven</v>
          </cell>
        </row>
        <row r="246">
          <cell r="J246" t="str">
            <v>North Lincolnshire</v>
          </cell>
        </row>
        <row r="247">
          <cell r="J247" t="str">
            <v>North Norfolk</v>
          </cell>
        </row>
        <row r="248">
          <cell r="J248" t="str">
            <v>North Somerset</v>
          </cell>
        </row>
        <row r="249">
          <cell r="J249" t="str">
            <v>North Tyneside</v>
          </cell>
        </row>
        <row r="250">
          <cell r="J250" t="str">
            <v>North Warwickshire</v>
          </cell>
        </row>
        <row r="251">
          <cell r="J251" t="str">
            <v>North West Leicestershire</v>
          </cell>
        </row>
        <row r="252">
          <cell r="J252" t="str">
            <v>North Yorkshire</v>
          </cell>
        </row>
        <row r="253">
          <cell r="J253" t="str">
            <v>North Yorkshire Fire</v>
          </cell>
        </row>
        <row r="254">
          <cell r="J254" t="str">
            <v>Northampton</v>
          </cell>
        </row>
        <row r="255">
          <cell r="J255" t="str">
            <v>Northamptonshire</v>
          </cell>
        </row>
        <row r="256">
          <cell r="J256" t="str">
            <v>Northumberland</v>
          </cell>
        </row>
        <row r="257">
          <cell r="J257" t="str">
            <v>Norwich</v>
          </cell>
        </row>
        <row r="258">
          <cell r="J258" t="str">
            <v>Nottingham</v>
          </cell>
        </row>
        <row r="259">
          <cell r="J259" t="str">
            <v>Nottinghamshire</v>
          </cell>
        </row>
        <row r="260">
          <cell r="J260" t="str">
            <v>Nottinghamshire Fire</v>
          </cell>
        </row>
        <row r="261">
          <cell r="J261" t="str">
            <v>Nuneaton and Bedworth</v>
          </cell>
        </row>
        <row r="262">
          <cell r="J262" t="str">
            <v>Oadby and Wigston</v>
          </cell>
        </row>
        <row r="263">
          <cell r="J263" t="str">
            <v>Oldham</v>
          </cell>
        </row>
        <row r="264">
          <cell r="J264" t="str">
            <v>Oxford</v>
          </cell>
        </row>
        <row r="265">
          <cell r="J265" t="str">
            <v>Oxfordshire</v>
          </cell>
        </row>
        <row r="266">
          <cell r="J266" t="str">
            <v>Pendle</v>
          </cell>
        </row>
        <row r="267">
          <cell r="J267" t="str">
            <v>Peterborough</v>
          </cell>
        </row>
        <row r="268">
          <cell r="J268" t="str">
            <v>Plymouth</v>
          </cell>
        </row>
        <row r="269">
          <cell r="J269" t="str">
            <v>Poole</v>
          </cell>
        </row>
        <row r="270">
          <cell r="J270" t="str">
            <v>Portsmouth</v>
          </cell>
        </row>
        <row r="271">
          <cell r="J271" t="str">
            <v>Preston</v>
          </cell>
        </row>
        <row r="272">
          <cell r="J272" t="str">
            <v>Purbeck</v>
          </cell>
        </row>
        <row r="273">
          <cell r="J273" t="str">
            <v>Reading</v>
          </cell>
        </row>
        <row r="274">
          <cell r="J274" t="str">
            <v>Redbridge</v>
          </cell>
        </row>
        <row r="275">
          <cell r="J275" t="str">
            <v>Redcar and Cleveland</v>
          </cell>
        </row>
        <row r="276">
          <cell r="J276" t="str">
            <v>Redditch</v>
          </cell>
        </row>
        <row r="277">
          <cell r="J277" t="str">
            <v>Reigate and Banstead</v>
          </cell>
        </row>
        <row r="278">
          <cell r="J278" t="str">
            <v>Ribble Valley</v>
          </cell>
        </row>
        <row r="279">
          <cell r="J279" t="str">
            <v>Richmond upon Thames</v>
          </cell>
        </row>
        <row r="280">
          <cell r="J280" t="str">
            <v>Richmondshire</v>
          </cell>
        </row>
        <row r="281">
          <cell r="J281" t="str">
            <v>Rochdale</v>
          </cell>
        </row>
        <row r="282">
          <cell r="J282" t="str">
            <v>Rochford</v>
          </cell>
        </row>
        <row r="283">
          <cell r="J283" t="str">
            <v>Rossendale</v>
          </cell>
        </row>
        <row r="284">
          <cell r="J284" t="str">
            <v>Rother</v>
          </cell>
        </row>
        <row r="285">
          <cell r="J285" t="str">
            <v>Rotherham</v>
          </cell>
        </row>
        <row r="286">
          <cell r="J286" t="str">
            <v>Rugby</v>
          </cell>
        </row>
        <row r="287">
          <cell r="J287" t="str">
            <v>Runnymede</v>
          </cell>
        </row>
        <row r="288">
          <cell r="J288" t="str">
            <v>Rushcliffe</v>
          </cell>
        </row>
        <row r="289">
          <cell r="J289" t="str">
            <v>Rushmoor</v>
          </cell>
        </row>
        <row r="290">
          <cell r="J290" t="str">
            <v>Rutland</v>
          </cell>
        </row>
        <row r="291">
          <cell r="J291" t="str">
            <v>Ryedale</v>
          </cell>
        </row>
        <row r="292">
          <cell r="J292" t="str">
            <v>Salford</v>
          </cell>
        </row>
        <row r="293">
          <cell r="J293" t="str">
            <v>Sandwell</v>
          </cell>
        </row>
        <row r="294">
          <cell r="J294" t="str">
            <v>Scarborough</v>
          </cell>
        </row>
        <row r="295">
          <cell r="J295" t="str">
            <v>Sedgemoor</v>
          </cell>
        </row>
        <row r="296">
          <cell r="J296" t="str">
            <v>Sefton</v>
          </cell>
        </row>
        <row r="297">
          <cell r="J297" t="str">
            <v>Selby</v>
          </cell>
        </row>
        <row r="298">
          <cell r="J298" t="str">
            <v>Sevenoaks</v>
          </cell>
        </row>
        <row r="299">
          <cell r="J299" t="str">
            <v>Sheffield</v>
          </cell>
        </row>
        <row r="300">
          <cell r="J300" t="str">
            <v>Shepway</v>
          </cell>
        </row>
        <row r="301">
          <cell r="J301" t="str">
            <v>Shropshire</v>
          </cell>
        </row>
        <row r="302">
          <cell r="J302" t="str">
            <v>Shropshire Fire</v>
          </cell>
        </row>
        <row r="303">
          <cell r="J303" t="str">
            <v>Slough</v>
          </cell>
        </row>
        <row r="304">
          <cell r="J304" t="str">
            <v>Solihull</v>
          </cell>
        </row>
        <row r="305">
          <cell r="J305" t="str">
            <v>Somerset</v>
          </cell>
        </row>
        <row r="306">
          <cell r="J306" t="str">
            <v>South Bucks</v>
          </cell>
        </row>
        <row r="307">
          <cell r="J307" t="str">
            <v>South Cambridgeshire</v>
          </cell>
        </row>
        <row r="308">
          <cell r="J308" t="str">
            <v>South Derbyshire</v>
          </cell>
        </row>
        <row r="309">
          <cell r="J309" t="str">
            <v>South Gloucestershire</v>
          </cell>
        </row>
        <row r="310">
          <cell r="J310" t="str">
            <v>South Hams</v>
          </cell>
        </row>
        <row r="311">
          <cell r="J311" t="str">
            <v>South Holland</v>
          </cell>
        </row>
        <row r="312">
          <cell r="J312" t="str">
            <v>South Kesteven</v>
          </cell>
        </row>
        <row r="313">
          <cell r="J313" t="str">
            <v>South Lakeland</v>
          </cell>
        </row>
        <row r="314">
          <cell r="J314" t="str">
            <v>South Norfolk</v>
          </cell>
        </row>
        <row r="315">
          <cell r="J315" t="str">
            <v>South Northamptonshire</v>
          </cell>
        </row>
        <row r="316">
          <cell r="J316" t="str">
            <v>South Oxfordshire</v>
          </cell>
        </row>
        <row r="317">
          <cell r="J317" t="str">
            <v>South Ribble</v>
          </cell>
        </row>
        <row r="318">
          <cell r="J318" t="str">
            <v>South Somerset</v>
          </cell>
        </row>
        <row r="319">
          <cell r="J319" t="str">
            <v>South Staffordshire</v>
          </cell>
        </row>
        <row r="320">
          <cell r="J320" t="str">
            <v>South Tyneside</v>
          </cell>
        </row>
        <row r="321">
          <cell r="J321" t="str">
            <v>South Yorkshire Fire</v>
          </cell>
        </row>
        <row r="322">
          <cell r="J322" t="str">
            <v>Southampton</v>
          </cell>
        </row>
        <row r="323">
          <cell r="J323" t="str">
            <v>Southend-on-Sea</v>
          </cell>
        </row>
        <row r="324">
          <cell r="J324" t="str">
            <v>Southwark</v>
          </cell>
        </row>
        <row r="325">
          <cell r="J325" t="str">
            <v>Spelthorne</v>
          </cell>
        </row>
        <row r="326">
          <cell r="J326" t="str">
            <v>St Albans</v>
          </cell>
        </row>
        <row r="327">
          <cell r="J327" t="str">
            <v>St Edmundsbury</v>
          </cell>
        </row>
        <row r="328">
          <cell r="J328" t="str">
            <v>St Helens</v>
          </cell>
        </row>
        <row r="329">
          <cell r="J329" t="str">
            <v>Stafford</v>
          </cell>
        </row>
        <row r="330">
          <cell r="J330" t="str">
            <v>Staffordshire</v>
          </cell>
        </row>
        <row r="331">
          <cell r="J331" t="str">
            <v>Staffordshire Fire</v>
          </cell>
        </row>
        <row r="332">
          <cell r="J332" t="str">
            <v>Staffordshire Moorlands</v>
          </cell>
        </row>
        <row r="333">
          <cell r="J333" t="str">
            <v>Stevenage</v>
          </cell>
        </row>
        <row r="334">
          <cell r="J334" t="str">
            <v>Stockport</v>
          </cell>
        </row>
        <row r="335">
          <cell r="J335" t="str">
            <v>Stockton-on-Tees</v>
          </cell>
        </row>
        <row r="336">
          <cell r="J336" t="str">
            <v>Stoke-on-Trent</v>
          </cell>
        </row>
        <row r="337">
          <cell r="J337" t="str">
            <v>Stratford-on-Avon</v>
          </cell>
        </row>
        <row r="338">
          <cell r="J338" t="str">
            <v>Stroud</v>
          </cell>
        </row>
        <row r="339">
          <cell r="J339" t="str">
            <v>Suffolk</v>
          </cell>
        </row>
        <row r="340">
          <cell r="J340" t="str">
            <v>Suffolk Coastal</v>
          </cell>
        </row>
        <row r="341">
          <cell r="J341" t="str">
            <v>Sunderland</v>
          </cell>
        </row>
        <row r="342">
          <cell r="J342" t="str">
            <v>Surrey</v>
          </cell>
        </row>
        <row r="343">
          <cell r="J343" t="str">
            <v>Surrey Heath</v>
          </cell>
        </row>
        <row r="344">
          <cell r="J344" t="str">
            <v>Sutton</v>
          </cell>
        </row>
        <row r="345">
          <cell r="J345" t="str">
            <v>Swale</v>
          </cell>
        </row>
        <row r="346">
          <cell r="J346" t="str">
            <v>Swindon</v>
          </cell>
        </row>
        <row r="347">
          <cell r="J347" t="str">
            <v>Tameside</v>
          </cell>
        </row>
        <row r="348">
          <cell r="J348" t="str">
            <v>Tamworth</v>
          </cell>
        </row>
        <row r="349">
          <cell r="J349" t="str">
            <v>Tandridge</v>
          </cell>
        </row>
        <row r="350">
          <cell r="J350" t="str">
            <v>Taunton Deane</v>
          </cell>
        </row>
        <row r="351">
          <cell r="J351" t="str">
            <v>Teignbridge</v>
          </cell>
        </row>
        <row r="352">
          <cell r="J352" t="str">
            <v>Telford and the Wrekin</v>
          </cell>
        </row>
        <row r="353">
          <cell r="J353" t="str">
            <v>Tendring</v>
          </cell>
        </row>
        <row r="354">
          <cell r="J354" t="str">
            <v>Test Valley</v>
          </cell>
        </row>
        <row r="355">
          <cell r="J355" t="str">
            <v>Tewkesbury</v>
          </cell>
        </row>
        <row r="356">
          <cell r="J356" t="str">
            <v>Thanet</v>
          </cell>
        </row>
        <row r="357">
          <cell r="J357" t="str">
            <v>Three Rivers</v>
          </cell>
        </row>
        <row r="358">
          <cell r="J358" t="str">
            <v>Thurrock</v>
          </cell>
        </row>
        <row r="359">
          <cell r="J359" t="str">
            <v>Tonbridge and Malling</v>
          </cell>
        </row>
        <row r="360">
          <cell r="J360" t="str">
            <v>Torbay</v>
          </cell>
        </row>
        <row r="361">
          <cell r="J361" t="str">
            <v>Torridge</v>
          </cell>
        </row>
        <row r="362">
          <cell r="J362" t="str">
            <v>Tower Hamlets</v>
          </cell>
        </row>
        <row r="363">
          <cell r="J363" t="str">
            <v>Trafford</v>
          </cell>
        </row>
        <row r="364">
          <cell r="J364" t="str">
            <v>Tunbridge Wells</v>
          </cell>
        </row>
        <row r="365">
          <cell r="J365" t="str">
            <v>Tyne and Wear Fire</v>
          </cell>
        </row>
        <row r="366">
          <cell r="J366" t="str">
            <v>Uttlesford</v>
          </cell>
        </row>
        <row r="367">
          <cell r="J367" t="str">
            <v>Vale of White Horse</v>
          </cell>
        </row>
        <row r="368">
          <cell r="J368" t="str">
            <v>Wakefield</v>
          </cell>
        </row>
        <row r="369">
          <cell r="J369" t="str">
            <v>Walsall</v>
          </cell>
        </row>
        <row r="370">
          <cell r="J370" t="str">
            <v>Waltham Forest</v>
          </cell>
        </row>
        <row r="371">
          <cell r="J371" t="str">
            <v>Wandsworth</v>
          </cell>
        </row>
        <row r="372">
          <cell r="J372" t="str">
            <v>Warrington</v>
          </cell>
        </row>
        <row r="373">
          <cell r="J373" t="str">
            <v>Warwick</v>
          </cell>
        </row>
        <row r="374">
          <cell r="J374" t="str">
            <v>Warwickshire</v>
          </cell>
        </row>
        <row r="375">
          <cell r="J375" t="str">
            <v>Watford</v>
          </cell>
        </row>
        <row r="376">
          <cell r="J376" t="str">
            <v>Waveney</v>
          </cell>
        </row>
        <row r="377">
          <cell r="J377" t="str">
            <v>Waverley</v>
          </cell>
        </row>
        <row r="378">
          <cell r="J378" t="str">
            <v>Wealden</v>
          </cell>
        </row>
        <row r="379">
          <cell r="J379" t="str">
            <v>Wellingborough</v>
          </cell>
        </row>
        <row r="380">
          <cell r="J380" t="str">
            <v>Welwyn Hatfield</v>
          </cell>
        </row>
        <row r="381">
          <cell r="J381" t="str">
            <v>West Berkshire</v>
          </cell>
        </row>
        <row r="382">
          <cell r="J382" t="str">
            <v>West Devon</v>
          </cell>
        </row>
        <row r="383">
          <cell r="J383" t="str">
            <v>West Dorset</v>
          </cell>
        </row>
        <row r="384">
          <cell r="J384" t="str">
            <v>West Lancashire</v>
          </cell>
        </row>
        <row r="385">
          <cell r="J385" t="str">
            <v>West Lindsey</v>
          </cell>
        </row>
        <row r="386">
          <cell r="J386" t="str">
            <v>West Midlands Fire</v>
          </cell>
        </row>
        <row r="387">
          <cell r="J387" t="str">
            <v>West Oxfordshire</v>
          </cell>
        </row>
        <row r="388">
          <cell r="J388" t="str">
            <v>West Somerset</v>
          </cell>
        </row>
        <row r="389">
          <cell r="J389" t="str">
            <v>West Sussex</v>
          </cell>
        </row>
        <row r="390">
          <cell r="J390" t="str">
            <v>West Yorkshire Fire</v>
          </cell>
        </row>
        <row r="391">
          <cell r="J391" t="str">
            <v>Westminster</v>
          </cell>
        </row>
        <row r="392">
          <cell r="J392" t="str">
            <v>Weymouth and Portland</v>
          </cell>
        </row>
        <row r="393">
          <cell r="J393" t="str">
            <v>Wigan</v>
          </cell>
        </row>
        <row r="394">
          <cell r="J394" t="str">
            <v>Wiltshire</v>
          </cell>
        </row>
        <row r="395">
          <cell r="J395" t="str">
            <v>Wiltshire Fire</v>
          </cell>
        </row>
        <row r="396">
          <cell r="J396" t="str">
            <v>Winchester</v>
          </cell>
        </row>
        <row r="397">
          <cell r="J397" t="str">
            <v>Windsor and Maidenhead</v>
          </cell>
        </row>
        <row r="398">
          <cell r="J398" t="str">
            <v>Wirral</v>
          </cell>
        </row>
        <row r="399">
          <cell r="J399" t="str">
            <v>Woking</v>
          </cell>
        </row>
        <row r="400">
          <cell r="J400" t="str">
            <v>Wokingham</v>
          </cell>
        </row>
        <row r="401">
          <cell r="J401" t="str">
            <v>Wolverhampton</v>
          </cell>
        </row>
        <row r="402">
          <cell r="J402" t="str">
            <v>Worcester</v>
          </cell>
        </row>
        <row r="403">
          <cell r="J403" t="str">
            <v>Worcestershire</v>
          </cell>
        </row>
        <row r="404">
          <cell r="J404" t="str">
            <v>Worthing</v>
          </cell>
        </row>
        <row r="405">
          <cell r="J405" t="str">
            <v>Wychavon</v>
          </cell>
        </row>
        <row r="406">
          <cell r="J406" t="str">
            <v>Wycombe</v>
          </cell>
        </row>
        <row r="407">
          <cell r="J407" t="str">
            <v>Wyre</v>
          </cell>
        </row>
        <row r="408">
          <cell r="J408" t="str">
            <v>Wyre Forest</v>
          </cell>
        </row>
        <row r="409">
          <cell r="J409" t="str">
            <v>York</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avings Summary"/>
      <sheetName val="Savings"/>
      <sheetName val="Growth"/>
      <sheetName val="Additional Saving proposals"/>
      <sheetName val="Sheet1"/>
      <sheetName val="Dropdowns"/>
    </sheetNames>
    <sheetDataSet>
      <sheetData sheetId="0"/>
      <sheetData sheetId="1"/>
      <sheetData sheetId="2"/>
      <sheetData sheetId="3"/>
      <sheetData sheetId="4"/>
      <sheetData sheetId="5">
        <row r="1">
          <cell r="A1" t="str">
            <v>Inanimates</v>
          </cell>
        </row>
        <row r="2">
          <cell r="A2" t="str">
            <v>Shared Services</v>
          </cell>
        </row>
        <row r="3">
          <cell r="A3" t="str">
            <v>Process Improvement</v>
          </cell>
        </row>
        <row r="4">
          <cell r="A4" t="str">
            <v>Outsourcing/joint venture</v>
          </cell>
        </row>
        <row r="5">
          <cell r="A5" t="str">
            <v>Operational capability</v>
          </cell>
        </row>
      </sheetData>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ft budget pivot"/>
      <sheetName val="Budget build summary"/>
      <sheetName val="Budget build detail"/>
      <sheetName val="Lookups"/>
      <sheetName val="Data 121110"/>
      <sheetName val="Sheet1"/>
      <sheetName val="Extract of changes "/>
    </sheetNames>
    <sheetDataSet>
      <sheetData sheetId="0"/>
      <sheetData sheetId="1"/>
      <sheetData sheetId="2"/>
      <sheetData sheetId="3">
        <row r="34">
          <cell r="A34" t="str">
            <v>Cost Centre</v>
          </cell>
        </row>
        <row r="35">
          <cell r="A35">
            <v>80000</v>
          </cell>
        </row>
        <row r="36">
          <cell r="A36">
            <v>80005</v>
          </cell>
        </row>
        <row r="37">
          <cell r="A37">
            <v>80010</v>
          </cell>
        </row>
        <row r="38">
          <cell r="A38">
            <v>80020</v>
          </cell>
        </row>
        <row r="39">
          <cell r="A39">
            <v>80025</v>
          </cell>
        </row>
        <row r="40">
          <cell r="A40">
            <v>80030</v>
          </cell>
        </row>
        <row r="41">
          <cell r="A41">
            <v>80050</v>
          </cell>
        </row>
        <row r="42">
          <cell r="A42">
            <v>80055</v>
          </cell>
        </row>
        <row r="43">
          <cell r="A43">
            <v>80060</v>
          </cell>
        </row>
        <row r="44">
          <cell r="A44">
            <v>80065</v>
          </cell>
        </row>
        <row r="45">
          <cell r="A45">
            <v>80070</v>
          </cell>
        </row>
        <row r="46">
          <cell r="A46">
            <v>80075</v>
          </cell>
        </row>
        <row r="47">
          <cell r="A47">
            <v>80080</v>
          </cell>
        </row>
        <row r="48">
          <cell r="A48">
            <v>80085</v>
          </cell>
        </row>
        <row r="49">
          <cell r="A49">
            <v>80090</v>
          </cell>
        </row>
        <row r="50">
          <cell r="A50">
            <v>80095</v>
          </cell>
        </row>
        <row r="51">
          <cell r="A51">
            <v>80100</v>
          </cell>
        </row>
        <row r="52">
          <cell r="A52">
            <v>80105</v>
          </cell>
        </row>
        <row r="53">
          <cell r="A53">
            <v>80110</v>
          </cell>
        </row>
        <row r="54">
          <cell r="A54">
            <v>80115</v>
          </cell>
        </row>
        <row r="55">
          <cell r="A55">
            <v>80120</v>
          </cell>
        </row>
        <row r="56">
          <cell r="A56">
            <v>80125</v>
          </cell>
        </row>
        <row r="57">
          <cell r="A57">
            <v>80130</v>
          </cell>
        </row>
        <row r="58">
          <cell r="A58">
            <v>80135</v>
          </cell>
        </row>
        <row r="59">
          <cell r="A59">
            <v>80140</v>
          </cell>
        </row>
        <row r="60">
          <cell r="A60">
            <v>80145</v>
          </cell>
        </row>
        <row r="61">
          <cell r="A61">
            <v>80150</v>
          </cell>
        </row>
        <row r="62">
          <cell r="A62">
            <v>80155</v>
          </cell>
        </row>
        <row r="63">
          <cell r="A63">
            <v>80160</v>
          </cell>
        </row>
        <row r="64">
          <cell r="A64">
            <v>80165</v>
          </cell>
        </row>
        <row r="65">
          <cell r="A65">
            <v>80180</v>
          </cell>
        </row>
        <row r="66">
          <cell r="A66">
            <v>80185</v>
          </cell>
        </row>
        <row r="67">
          <cell r="A67">
            <v>80190</v>
          </cell>
        </row>
        <row r="68">
          <cell r="A68">
            <v>80195</v>
          </cell>
        </row>
        <row r="69">
          <cell r="A69">
            <v>80210</v>
          </cell>
        </row>
        <row r="70">
          <cell r="A70">
            <v>80215</v>
          </cell>
        </row>
        <row r="71">
          <cell r="A71">
            <v>80220</v>
          </cell>
        </row>
        <row r="72">
          <cell r="A72">
            <v>80225</v>
          </cell>
        </row>
        <row r="73">
          <cell r="A73">
            <v>80230</v>
          </cell>
        </row>
        <row r="74">
          <cell r="A74">
            <v>80245</v>
          </cell>
        </row>
        <row r="75">
          <cell r="A75">
            <v>80250</v>
          </cell>
        </row>
        <row r="76">
          <cell r="A76">
            <v>80255</v>
          </cell>
        </row>
        <row r="77">
          <cell r="A77">
            <v>80260</v>
          </cell>
        </row>
        <row r="78">
          <cell r="A78">
            <v>80270</v>
          </cell>
        </row>
        <row r="79">
          <cell r="A79">
            <v>80275</v>
          </cell>
        </row>
        <row r="80">
          <cell r="A80">
            <v>80280</v>
          </cell>
        </row>
        <row r="81">
          <cell r="A81">
            <v>80285</v>
          </cell>
        </row>
        <row r="82">
          <cell r="A82">
            <v>80295</v>
          </cell>
        </row>
        <row r="83">
          <cell r="A83">
            <v>80300</v>
          </cell>
        </row>
        <row r="84">
          <cell r="A84">
            <v>80315</v>
          </cell>
        </row>
        <row r="85">
          <cell r="A85">
            <v>80325</v>
          </cell>
        </row>
        <row r="86">
          <cell r="A86">
            <v>80330</v>
          </cell>
        </row>
        <row r="87">
          <cell r="A87">
            <v>80335</v>
          </cell>
        </row>
        <row r="88">
          <cell r="A88">
            <v>80340</v>
          </cell>
        </row>
        <row r="89">
          <cell r="A89">
            <v>80345</v>
          </cell>
        </row>
        <row r="90">
          <cell r="A90">
            <v>80350</v>
          </cell>
        </row>
        <row r="91">
          <cell r="A91">
            <v>80355</v>
          </cell>
        </row>
        <row r="92">
          <cell r="A92">
            <v>80360</v>
          </cell>
        </row>
        <row r="93">
          <cell r="A93">
            <v>80365</v>
          </cell>
        </row>
        <row r="94">
          <cell r="A94">
            <v>80370</v>
          </cell>
        </row>
        <row r="95">
          <cell r="A95">
            <v>80375</v>
          </cell>
        </row>
        <row r="96">
          <cell r="A96">
            <v>80380</v>
          </cell>
        </row>
        <row r="97">
          <cell r="A97">
            <v>80395</v>
          </cell>
        </row>
        <row r="98">
          <cell r="A98">
            <v>80400</v>
          </cell>
        </row>
        <row r="99">
          <cell r="A99">
            <v>80405</v>
          </cell>
        </row>
        <row r="100">
          <cell r="A100">
            <v>80410</v>
          </cell>
        </row>
        <row r="101">
          <cell r="A101">
            <v>80415</v>
          </cell>
        </row>
        <row r="102">
          <cell r="A102">
            <v>80420</v>
          </cell>
        </row>
        <row r="103">
          <cell r="A103">
            <v>80425</v>
          </cell>
        </row>
        <row r="104">
          <cell r="A104">
            <v>80430</v>
          </cell>
        </row>
        <row r="105">
          <cell r="A105">
            <v>80435</v>
          </cell>
        </row>
        <row r="106">
          <cell r="A106">
            <v>80440</v>
          </cell>
        </row>
        <row r="107">
          <cell r="A107">
            <v>80445</v>
          </cell>
        </row>
        <row r="108">
          <cell r="A108">
            <v>80450</v>
          </cell>
        </row>
        <row r="109">
          <cell r="A109">
            <v>80455</v>
          </cell>
        </row>
        <row r="110">
          <cell r="A110">
            <v>80500</v>
          </cell>
        </row>
        <row r="111">
          <cell r="A111">
            <v>80510</v>
          </cell>
        </row>
        <row r="112">
          <cell r="A112">
            <v>80515</v>
          </cell>
        </row>
        <row r="113">
          <cell r="A113">
            <v>80520</v>
          </cell>
        </row>
        <row r="114">
          <cell r="A114">
            <v>80525</v>
          </cell>
        </row>
        <row r="115">
          <cell r="A115">
            <v>80530</v>
          </cell>
        </row>
        <row r="116">
          <cell r="A116">
            <v>80535</v>
          </cell>
        </row>
        <row r="117">
          <cell r="A117">
            <v>80540</v>
          </cell>
        </row>
        <row r="118">
          <cell r="A118">
            <v>80545</v>
          </cell>
        </row>
        <row r="119">
          <cell r="A119">
            <v>80550</v>
          </cell>
        </row>
        <row r="120">
          <cell r="A120">
            <v>80555</v>
          </cell>
        </row>
        <row r="121">
          <cell r="A121">
            <v>80560</v>
          </cell>
        </row>
        <row r="122">
          <cell r="A122">
            <v>80565</v>
          </cell>
        </row>
        <row r="123">
          <cell r="A123">
            <v>80570</v>
          </cell>
        </row>
        <row r="124">
          <cell r="A124">
            <v>80575</v>
          </cell>
        </row>
        <row r="125">
          <cell r="A125">
            <v>80580</v>
          </cell>
        </row>
        <row r="126">
          <cell r="A126">
            <v>80605</v>
          </cell>
        </row>
        <row r="127">
          <cell r="A127">
            <v>80625</v>
          </cell>
        </row>
        <row r="128">
          <cell r="A128">
            <v>80635</v>
          </cell>
        </row>
        <row r="129">
          <cell r="A129">
            <v>80640</v>
          </cell>
        </row>
        <row r="130">
          <cell r="A130">
            <v>80645</v>
          </cell>
        </row>
        <row r="131">
          <cell r="A131">
            <v>80650</v>
          </cell>
        </row>
        <row r="132">
          <cell r="A132">
            <v>80823</v>
          </cell>
        </row>
        <row r="133">
          <cell r="A133">
            <v>80900</v>
          </cell>
        </row>
        <row r="134">
          <cell r="A134">
            <v>80902</v>
          </cell>
        </row>
        <row r="135">
          <cell r="A135">
            <v>80903</v>
          </cell>
        </row>
        <row r="136">
          <cell r="A136">
            <v>80905</v>
          </cell>
        </row>
        <row r="137">
          <cell r="A137">
            <v>80910</v>
          </cell>
        </row>
        <row r="138">
          <cell r="A138">
            <v>80912</v>
          </cell>
        </row>
        <row r="139">
          <cell r="A139">
            <v>80913</v>
          </cell>
        </row>
        <row r="140">
          <cell r="A140">
            <v>80914</v>
          </cell>
        </row>
        <row r="141">
          <cell r="A141">
            <v>80915</v>
          </cell>
        </row>
        <row r="142">
          <cell r="A142">
            <v>80920</v>
          </cell>
        </row>
        <row r="143">
          <cell r="A143">
            <v>80923</v>
          </cell>
        </row>
        <row r="144">
          <cell r="A144">
            <v>80924</v>
          </cell>
        </row>
        <row r="145">
          <cell r="A145">
            <v>80925</v>
          </cell>
        </row>
        <row r="146">
          <cell r="A146">
            <v>80926</v>
          </cell>
        </row>
        <row r="147">
          <cell r="A147">
            <v>80930</v>
          </cell>
        </row>
        <row r="148">
          <cell r="A148">
            <v>80935</v>
          </cell>
        </row>
        <row r="149">
          <cell r="A149">
            <v>80940</v>
          </cell>
        </row>
        <row r="150">
          <cell r="A150">
            <v>80943</v>
          </cell>
        </row>
        <row r="151">
          <cell r="A151">
            <v>80945</v>
          </cell>
        </row>
        <row r="152">
          <cell r="A152">
            <v>80996</v>
          </cell>
        </row>
        <row r="153">
          <cell r="A153">
            <v>80997</v>
          </cell>
        </row>
        <row r="154">
          <cell r="A154">
            <v>80998</v>
          </cell>
        </row>
        <row r="155">
          <cell r="A155">
            <v>80999</v>
          </cell>
        </row>
        <row r="156">
          <cell r="A156">
            <v>81001</v>
          </cell>
        </row>
        <row r="157">
          <cell r="A157">
            <v>81008</v>
          </cell>
        </row>
        <row r="158">
          <cell r="A158">
            <v>81009</v>
          </cell>
        </row>
        <row r="159">
          <cell r="A159">
            <v>81010</v>
          </cell>
        </row>
        <row r="160">
          <cell r="A160">
            <v>81011</v>
          </cell>
        </row>
        <row r="161">
          <cell r="A161">
            <v>81012</v>
          </cell>
        </row>
        <row r="162">
          <cell r="A162">
            <v>81013</v>
          </cell>
        </row>
        <row r="163">
          <cell r="A163">
            <v>81015</v>
          </cell>
        </row>
        <row r="164">
          <cell r="A164">
            <v>81018</v>
          </cell>
        </row>
        <row r="165">
          <cell r="A165">
            <v>81019</v>
          </cell>
        </row>
        <row r="166">
          <cell r="A166">
            <v>81020</v>
          </cell>
        </row>
        <row r="167">
          <cell r="A167">
            <v>81021</v>
          </cell>
        </row>
        <row r="168">
          <cell r="A168">
            <v>81022</v>
          </cell>
        </row>
        <row r="169">
          <cell r="A169">
            <v>81028</v>
          </cell>
        </row>
        <row r="170">
          <cell r="A170">
            <v>81030</v>
          </cell>
        </row>
        <row r="171">
          <cell r="A171">
            <v>81032</v>
          </cell>
        </row>
        <row r="172">
          <cell r="A172">
            <v>81034</v>
          </cell>
        </row>
        <row r="173">
          <cell r="A173">
            <v>81038</v>
          </cell>
        </row>
        <row r="174">
          <cell r="A174">
            <v>81043</v>
          </cell>
        </row>
        <row r="175">
          <cell r="A175">
            <v>81044</v>
          </cell>
        </row>
        <row r="176">
          <cell r="A176">
            <v>81045</v>
          </cell>
        </row>
        <row r="177">
          <cell r="A177">
            <v>81047</v>
          </cell>
        </row>
        <row r="178">
          <cell r="A178">
            <v>81049</v>
          </cell>
        </row>
        <row r="179">
          <cell r="A179">
            <v>81050</v>
          </cell>
        </row>
        <row r="180">
          <cell r="A180">
            <v>81051</v>
          </cell>
        </row>
        <row r="181">
          <cell r="A181">
            <v>81055</v>
          </cell>
        </row>
        <row r="182">
          <cell r="A182">
            <v>81056</v>
          </cell>
        </row>
        <row r="183">
          <cell r="A183">
            <v>81100</v>
          </cell>
        </row>
        <row r="184">
          <cell r="A184">
            <v>81401</v>
          </cell>
        </row>
        <row r="185">
          <cell r="A185">
            <v>81402</v>
          </cell>
        </row>
        <row r="186">
          <cell r="A186">
            <v>81403</v>
          </cell>
        </row>
        <row r="187">
          <cell r="A187">
            <v>81404</v>
          </cell>
        </row>
        <row r="188">
          <cell r="A188">
            <v>81405</v>
          </cell>
        </row>
        <row r="189">
          <cell r="A189">
            <v>81406</v>
          </cell>
        </row>
        <row r="190">
          <cell r="A190">
            <v>81418</v>
          </cell>
        </row>
        <row r="191">
          <cell r="A191">
            <v>81420</v>
          </cell>
        </row>
        <row r="192">
          <cell r="A192">
            <v>81421</v>
          </cell>
        </row>
        <row r="193">
          <cell r="A193">
            <v>81422</v>
          </cell>
        </row>
        <row r="194">
          <cell r="A194">
            <v>81423</v>
          </cell>
        </row>
        <row r="195">
          <cell r="A195">
            <v>81424</v>
          </cell>
        </row>
        <row r="196">
          <cell r="A196">
            <v>81425</v>
          </cell>
        </row>
        <row r="197">
          <cell r="A197">
            <v>81426</v>
          </cell>
        </row>
        <row r="198">
          <cell r="A198">
            <v>81427</v>
          </cell>
        </row>
        <row r="199">
          <cell r="A199">
            <v>81428</v>
          </cell>
        </row>
        <row r="200">
          <cell r="A200">
            <v>81429</v>
          </cell>
        </row>
        <row r="201">
          <cell r="A201">
            <v>81430</v>
          </cell>
        </row>
        <row r="202">
          <cell r="A202">
            <v>81431</v>
          </cell>
        </row>
        <row r="203">
          <cell r="A203">
            <v>81432</v>
          </cell>
        </row>
        <row r="204">
          <cell r="A204">
            <v>81433</v>
          </cell>
        </row>
        <row r="205">
          <cell r="A205">
            <v>81434</v>
          </cell>
        </row>
        <row r="206">
          <cell r="A206">
            <v>81435</v>
          </cell>
        </row>
        <row r="207">
          <cell r="A207">
            <v>81436</v>
          </cell>
        </row>
        <row r="208">
          <cell r="A208">
            <v>81437</v>
          </cell>
        </row>
        <row r="209">
          <cell r="A209">
            <v>81438</v>
          </cell>
        </row>
        <row r="210">
          <cell r="A210">
            <v>81439</v>
          </cell>
        </row>
        <row r="211">
          <cell r="A211">
            <v>81441</v>
          </cell>
        </row>
        <row r="212">
          <cell r="A212">
            <v>81442</v>
          </cell>
        </row>
        <row r="213">
          <cell r="A213">
            <v>81443</v>
          </cell>
        </row>
        <row r="214">
          <cell r="A214">
            <v>81444</v>
          </cell>
        </row>
        <row r="215">
          <cell r="A215">
            <v>81445</v>
          </cell>
        </row>
        <row r="216">
          <cell r="A216">
            <v>81450</v>
          </cell>
        </row>
        <row r="217">
          <cell r="A217">
            <v>81451</v>
          </cell>
        </row>
        <row r="218">
          <cell r="A218">
            <v>81452</v>
          </cell>
        </row>
        <row r="219">
          <cell r="A219">
            <v>81453</v>
          </cell>
        </row>
        <row r="220">
          <cell r="A220">
            <v>81501</v>
          </cell>
        </row>
        <row r="221">
          <cell r="A221">
            <v>81503</v>
          </cell>
        </row>
        <row r="222">
          <cell r="A222">
            <v>81504</v>
          </cell>
        </row>
        <row r="223">
          <cell r="A223">
            <v>81505</v>
          </cell>
        </row>
        <row r="224">
          <cell r="A224">
            <v>81506</v>
          </cell>
        </row>
        <row r="225">
          <cell r="A225">
            <v>81507</v>
          </cell>
        </row>
        <row r="226">
          <cell r="A226">
            <v>81509</v>
          </cell>
        </row>
        <row r="227">
          <cell r="A227">
            <v>81515</v>
          </cell>
        </row>
        <row r="228">
          <cell r="A228">
            <v>81525</v>
          </cell>
        </row>
        <row r="229">
          <cell r="A229">
            <v>81526</v>
          </cell>
        </row>
        <row r="230">
          <cell r="A230">
            <v>81550</v>
          </cell>
        </row>
        <row r="231">
          <cell r="A231">
            <v>81553</v>
          </cell>
        </row>
        <row r="232">
          <cell r="A232">
            <v>81560</v>
          </cell>
        </row>
        <row r="233">
          <cell r="A233">
            <v>81576</v>
          </cell>
        </row>
        <row r="234">
          <cell r="A234">
            <v>81578</v>
          </cell>
        </row>
        <row r="235">
          <cell r="A235">
            <v>81579</v>
          </cell>
        </row>
        <row r="236">
          <cell r="A236">
            <v>81601</v>
          </cell>
        </row>
        <row r="237">
          <cell r="A237">
            <v>81602</v>
          </cell>
        </row>
        <row r="238">
          <cell r="A238">
            <v>81603</v>
          </cell>
        </row>
        <row r="239">
          <cell r="A239">
            <v>81604</v>
          </cell>
        </row>
        <row r="240">
          <cell r="A240">
            <v>81605</v>
          </cell>
        </row>
        <row r="241">
          <cell r="A241">
            <v>81606</v>
          </cell>
        </row>
        <row r="242">
          <cell r="A242">
            <v>81620</v>
          </cell>
        </row>
        <row r="243">
          <cell r="A243">
            <v>81650</v>
          </cell>
        </row>
        <row r="244">
          <cell r="A244">
            <v>81652</v>
          </cell>
        </row>
        <row r="245">
          <cell r="A245">
            <v>81655</v>
          </cell>
        </row>
        <row r="246">
          <cell r="A246">
            <v>81660</v>
          </cell>
        </row>
        <row r="247">
          <cell r="A247">
            <v>81661</v>
          </cell>
        </row>
        <row r="248">
          <cell r="A248">
            <v>81662</v>
          </cell>
        </row>
        <row r="249">
          <cell r="A249">
            <v>81664</v>
          </cell>
        </row>
        <row r="250">
          <cell r="A250">
            <v>81665</v>
          </cell>
        </row>
        <row r="251">
          <cell r="A251">
            <v>81666</v>
          </cell>
        </row>
        <row r="252">
          <cell r="A252">
            <v>81667</v>
          </cell>
        </row>
        <row r="253">
          <cell r="A253">
            <v>81668</v>
          </cell>
        </row>
        <row r="254">
          <cell r="A254">
            <v>81669</v>
          </cell>
        </row>
        <row r="255">
          <cell r="A255">
            <v>81670</v>
          </cell>
        </row>
        <row r="256">
          <cell r="A256">
            <v>81671</v>
          </cell>
        </row>
        <row r="257">
          <cell r="A257">
            <v>81672</v>
          </cell>
        </row>
        <row r="258">
          <cell r="A258">
            <v>81673</v>
          </cell>
        </row>
        <row r="259">
          <cell r="A259">
            <v>81674</v>
          </cell>
        </row>
        <row r="260">
          <cell r="A260">
            <v>81680</v>
          </cell>
        </row>
        <row r="261">
          <cell r="A261">
            <v>81690</v>
          </cell>
        </row>
        <row r="262">
          <cell r="A262">
            <v>82001</v>
          </cell>
        </row>
        <row r="263">
          <cell r="A263">
            <v>82010</v>
          </cell>
        </row>
        <row r="264">
          <cell r="A264">
            <v>82015</v>
          </cell>
        </row>
        <row r="265">
          <cell r="A265">
            <v>82016</v>
          </cell>
        </row>
        <row r="266">
          <cell r="A266">
            <v>82030</v>
          </cell>
        </row>
        <row r="267">
          <cell r="A267">
            <v>82031</v>
          </cell>
        </row>
        <row r="268">
          <cell r="A268">
            <v>82033</v>
          </cell>
        </row>
        <row r="269">
          <cell r="A269">
            <v>82035</v>
          </cell>
        </row>
        <row r="270">
          <cell r="A270">
            <v>82039</v>
          </cell>
        </row>
        <row r="271">
          <cell r="A271">
            <v>82040</v>
          </cell>
        </row>
        <row r="272">
          <cell r="A272">
            <v>82050</v>
          </cell>
        </row>
        <row r="273">
          <cell r="A273">
            <v>82053</v>
          </cell>
        </row>
        <row r="274">
          <cell r="A274">
            <v>82061</v>
          </cell>
        </row>
        <row r="275">
          <cell r="A275">
            <v>82100</v>
          </cell>
        </row>
        <row r="276">
          <cell r="A276">
            <v>82150</v>
          </cell>
        </row>
        <row r="277">
          <cell r="A277">
            <v>83001</v>
          </cell>
        </row>
        <row r="278">
          <cell r="A278">
            <v>83002</v>
          </cell>
        </row>
        <row r="279">
          <cell r="A279">
            <v>83003</v>
          </cell>
        </row>
        <row r="280">
          <cell r="A280">
            <v>83011</v>
          </cell>
        </row>
        <row r="281">
          <cell r="A281">
            <v>83100</v>
          </cell>
        </row>
        <row r="282">
          <cell r="A282">
            <v>83101</v>
          </cell>
        </row>
        <row r="283">
          <cell r="A283">
            <v>83104</v>
          </cell>
        </row>
        <row r="284">
          <cell r="A284">
            <v>83105</v>
          </cell>
        </row>
        <row r="285">
          <cell r="A285">
            <v>83106</v>
          </cell>
        </row>
        <row r="286">
          <cell r="A286">
            <v>83107</v>
          </cell>
        </row>
        <row r="287">
          <cell r="A287">
            <v>83108</v>
          </cell>
        </row>
        <row r="288">
          <cell r="A288">
            <v>83109</v>
          </cell>
        </row>
        <row r="289">
          <cell r="A289">
            <v>83110</v>
          </cell>
        </row>
        <row r="290">
          <cell r="A290">
            <v>83120</v>
          </cell>
        </row>
        <row r="291">
          <cell r="A291">
            <v>83121</v>
          </cell>
        </row>
        <row r="292">
          <cell r="A292">
            <v>83122</v>
          </cell>
        </row>
        <row r="293">
          <cell r="A293">
            <v>83132</v>
          </cell>
        </row>
        <row r="294">
          <cell r="A294">
            <v>83133</v>
          </cell>
        </row>
        <row r="295">
          <cell r="A295">
            <v>83135</v>
          </cell>
        </row>
        <row r="296">
          <cell r="A296">
            <v>83137</v>
          </cell>
        </row>
        <row r="297">
          <cell r="A297">
            <v>83138</v>
          </cell>
        </row>
        <row r="298">
          <cell r="A298">
            <v>83140</v>
          </cell>
        </row>
        <row r="299">
          <cell r="A299">
            <v>83141</v>
          </cell>
        </row>
        <row r="300">
          <cell r="A300">
            <v>83142</v>
          </cell>
        </row>
        <row r="301">
          <cell r="A301">
            <v>83155</v>
          </cell>
        </row>
        <row r="302">
          <cell r="A302">
            <v>83156</v>
          </cell>
        </row>
        <row r="303">
          <cell r="A303">
            <v>83158</v>
          </cell>
        </row>
        <row r="304">
          <cell r="A304">
            <v>83159</v>
          </cell>
        </row>
        <row r="305">
          <cell r="A305">
            <v>83200</v>
          </cell>
        </row>
        <row r="306">
          <cell r="A306">
            <v>83206</v>
          </cell>
        </row>
        <row r="307">
          <cell r="A307">
            <v>83220</v>
          </cell>
        </row>
        <row r="308">
          <cell r="A308">
            <v>83250</v>
          </cell>
        </row>
        <row r="309">
          <cell r="A309">
            <v>83260</v>
          </cell>
        </row>
        <row r="310">
          <cell r="A310">
            <v>83270</v>
          </cell>
        </row>
        <row r="311">
          <cell r="A311">
            <v>83271</v>
          </cell>
        </row>
        <row r="312">
          <cell r="A312">
            <v>83272</v>
          </cell>
        </row>
        <row r="313">
          <cell r="A313">
            <v>83273</v>
          </cell>
        </row>
        <row r="314">
          <cell r="A314">
            <v>83274</v>
          </cell>
        </row>
        <row r="315">
          <cell r="A315">
            <v>83275</v>
          </cell>
        </row>
        <row r="316">
          <cell r="A316">
            <v>83276</v>
          </cell>
        </row>
        <row r="317">
          <cell r="A317">
            <v>83301</v>
          </cell>
        </row>
        <row r="318">
          <cell r="A318">
            <v>83302</v>
          </cell>
        </row>
        <row r="319">
          <cell r="A319">
            <v>83350</v>
          </cell>
        </row>
        <row r="320">
          <cell r="A320">
            <v>83351</v>
          </cell>
        </row>
        <row r="321">
          <cell r="A321">
            <v>83400</v>
          </cell>
        </row>
        <row r="322">
          <cell r="A322">
            <v>83402</v>
          </cell>
        </row>
        <row r="323">
          <cell r="A323">
            <v>83410</v>
          </cell>
        </row>
        <row r="324">
          <cell r="A324">
            <v>84001</v>
          </cell>
        </row>
        <row r="325">
          <cell r="A325">
            <v>84051</v>
          </cell>
        </row>
        <row r="326">
          <cell r="A326">
            <v>84052</v>
          </cell>
        </row>
        <row r="327">
          <cell r="A327">
            <v>84053</v>
          </cell>
        </row>
        <row r="328">
          <cell r="A328">
            <v>84054</v>
          </cell>
        </row>
        <row r="329">
          <cell r="A329">
            <v>84055</v>
          </cell>
        </row>
        <row r="330">
          <cell r="A330">
            <v>84056</v>
          </cell>
        </row>
        <row r="331">
          <cell r="A331">
            <v>84057</v>
          </cell>
        </row>
        <row r="332">
          <cell r="A332">
            <v>84058</v>
          </cell>
        </row>
        <row r="333">
          <cell r="A333">
            <v>84060</v>
          </cell>
        </row>
        <row r="334">
          <cell r="A334">
            <v>84101</v>
          </cell>
        </row>
        <row r="335">
          <cell r="A335">
            <v>84102</v>
          </cell>
        </row>
        <row r="336">
          <cell r="A336">
            <v>84151</v>
          </cell>
        </row>
        <row r="337">
          <cell r="A337">
            <v>84152</v>
          </cell>
        </row>
        <row r="338">
          <cell r="A338">
            <v>84153</v>
          </cell>
        </row>
        <row r="339">
          <cell r="A339">
            <v>84155</v>
          </cell>
        </row>
        <row r="340">
          <cell r="A340">
            <v>84156</v>
          </cell>
        </row>
        <row r="341">
          <cell r="A341">
            <v>84203</v>
          </cell>
        </row>
        <row r="342">
          <cell r="A342">
            <v>84204</v>
          </cell>
        </row>
        <row r="343">
          <cell r="A343">
            <v>84205</v>
          </cell>
        </row>
        <row r="344">
          <cell r="A344">
            <v>84206</v>
          </cell>
        </row>
        <row r="345">
          <cell r="A345">
            <v>84208</v>
          </cell>
        </row>
        <row r="346">
          <cell r="A346">
            <v>84302</v>
          </cell>
        </row>
        <row r="347">
          <cell r="A347">
            <v>84303</v>
          </cell>
        </row>
        <row r="348">
          <cell r="A348">
            <v>84304</v>
          </cell>
        </row>
        <row r="349">
          <cell r="A349">
            <v>84305</v>
          </cell>
        </row>
        <row r="350">
          <cell r="A350">
            <v>84306</v>
          </cell>
        </row>
        <row r="351">
          <cell r="A351">
            <v>84307</v>
          </cell>
        </row>
        <row r="352">
          <cell r="A352">
            <v>84308</v>
          </cell>
        </row>
        <row r="353">
          <cell r="A353">
            <v>84309</v>
          </cell>
        </row>
        <row r="354">
          <cell r="A354">
            <v>84310</v>
          </cell>
        </row>
        <row r="355">
          <cell r="A355">
            <v>84311</v>
          </cell>
        </row>
        <row r="356">
          <cell r="A356">
            <v>84312</v>
          </cell>
        </row>
        <row r="357">
          <cell r="A357">
            <v>84313</v>
          </cell>
        </row>
        <row r="358">
          <cell r="A358">
            <v>84314</v>
          </cell>
        </row>
        <row r="359">
          <cell r="A359">
            <v>84315</v>
          </cell>
        </row>
        <row r="360">
          <cell r="A360">
            <v>84316</v>
          </cell>
        </row>
        <row r="361">
          <cell r="A361">
            <v>84317</v>
          </cell>
        </row>
        <row r="362">
          <cell r="A362">
            <v>84318</v>
          </cell>
        </row>
        <row r="363">
          <cell r="A363">
            <v>84319</v>
          </cell>
        </row>
        <row r="364">
          <cell r="A364">
            <v>84320</v>
          </cell>
        </row>
        <row r="365">
          <cell r="A365">
            <v>84321</v>
          </cell>
        </row>
        <row r="366">
          <cell r="A366">
            <v>84322</v>
          </cell>
        </row>
        <row r="367">
          <cell r="A367">
            <v>84323</v>
          </cell>
        </row>
        <row r="368">
          <cell r="A368">
            <v>84324</v>
          </cell>
        </row>
        <row r="369">
          <cell r="A369">
            <v>84325</v>
          </cell>
        </row>
        <row r="370">
          <cell r="A370">
            <v>84326</v>
          </cell>
        </row>
        <row r="371">
          <cell r="A371">
            <v>84327</v>
          </cell>
        </row>
        <row r="372">
          <cell r="A372">
            <v>84328</v>
          </cell>
        </row>
        <row r="373">
          <cell r="A373">
            <v>84329</v>
          </cell>
        </row>
        <row r="374">
          <cell r="A374">
            <v>84330</v>
          </cell>
        </row>
        <row r="375">
          <cell r="A375">
            <v>84331</v>
          </cell>
        </row>
        <row r="376">
          <cell r="A376">
            <v>84333</v>
          </cell>
        </row>
        <row r="377">
          <cell r="A377">
            <v>84334</v>
          </cell>
        </row>
        <row r="378">
          <cell r="A378">
            <v>84335</v>
          </cell>
        </row>
        <row r="379">
          <cell r="A379">
            <v>84336</v>
          </cell>
        </row>
        <row r="380">
          <cell r="A380">
            <v>84337</v>
          </cell>
        </row>
        <row r="381">
          <cell r="A381">
            <v>84338</v>
          </cell>
        </row>
        <row r="382">
          <cell r="A382">
            <v>84339</v>
          </cell>
        </row>
        <row r="383">
          <cell r="A383">
            <v>84340</v>
          </cell>
        </row>
        <row r="384">
          <cell r="A384">
            <v>84341</v>
          </cell>
        </row>
        <row r="385">
          <cell r="A385">
            <v>84401</v>
          </cell>
        </row>
        <row r="386">
          <cell r="A386">
            <v>84402</v>
          </cell>
        </row>
        <row r="387">
          <cell r="A387">
            <v>84403</v>
          </cell>
        </row>
        <row r="388">
          <cell r="A388">
            <v>84404</v>
          </cell>
        </row>
        <row r="389">
          <cell r="A389">
            <v>84405</v>
          </cell>
        </row>
        <row r="390">
          <cell r="A390">
            <v>84406</v>
          </cell>
        </row>
        <row r="391">
          <cell r="A391">
            <v>84552</v>
          </cell>
        </row>
        <row r="392">
          <cell r="A392">
            <v>84553</v>
          </cell>
        </row>
        <row r="393">
          <cell r="A393">
            <v>84554</v>
          </cell>
        </row>
        <row r="394">
          <cell r="A394">
            <v>84555</v>
          </cell>
        </row>
        <row r="395">
          <cell r="A395">
            <v>84556</v>
          </cell>
        </row>
        <row r="396">
          <cell r="A396">
            <v>84601</v>
          </cell>
        </row>
        <row r="397">
          <cell r="A397">
            <v>84602</v>
          </cell>
        </row>
        <row r="398">
          <cell r="A398">
            <v>84603</v>
          </cell>
        </row>
        <row r="399">
          <cell r="A399">
            <v>84604</v>
          </cell>
        </row>
        <row r="400">
          <cell r="A400">
            <v>84605</v>
          </cell>
        </row>
        <row r="401">
          <cell r="A401">
            <v>84606</v>
          </cell>
        </row>
        <row r="402">
          <cell r="A402">
            <v>84607</v>
          </cell>
        </row>
        <row r="403">
          <cell r="A403">
            <v>84608</v>
          </cell>
        </row>
        <row r="404">
          <cell r="A404">
            <v>84609</v>
          </cell>
        </row>
        <row r="405">
          <cell r="A405">
            <v>84610</v>
          </cell>
        </row>
        <row r="406">
          <cell r="A406">
            <v>84611</v>
          </cell>
        </row>
        <row r="407">
          <cell r="A407">
            <v>84612</v>
          </cell>
        </row>
        <row r="408">
          <cell r="A408">
            <v>84613</v>
          </cell>
        </row>
        <row r="409">
          <cell r="A409">
            <v>84614</v>
          </cell>
        </row>
        <row r="410">
          <cell r="A410">
            <v>84615</v>
          </cell>
        </row>
        <row r="411">
          <cell r="A411">
            <v>84616</v>
          </cell>
        </row>
        <row r="412">
          <cell r="A412">
            <v>84618</v>
          </cell>
        </row>
        <row r="413">
          <cell r="A413">
            <v>84619</v>
          </cell>
        </row>
        <row r="414">
          <cell r="A414">
            <v>84620</v>
          </cell>
        </row>
        <row r="415">
          <cell r="A415">
            <v>84621</v>
          </cell>
        </row>
        <row r="416">
          <cell r="A416">
            <v>84625</v>
          </cell>
        </row>
        <row r="417">
          <cell r="A417">
            <v>84626</v>
          </cell>
        </row>
        <row r="418">
          <cell r="A418">
            <v>84627</v>
          </cell>
        </row>
        <row r="419">
          <cell r="A419">
            <v>84630</v>
          </cell>
        </row>
        <row r="420">
          <cell r="A420">
            <v>84631</v>
          </cell>
        </row>
        <row r="421">
          <cell r="A421">
            <v>84632</v>
          </cell>
        </row>
        <row r="422">
          <cell r="A422">
            <v>84633</v>
          </cell>
        </row>
        <row r="423">
          <cell r="A423">
            <v>84634</v>
          </cell>
        </row>
        <row r="424">
          <cell r="A424">
            <v>84635</v>
          </cell>
        </row>
        <row r="425">
          <cell r="A425">
            <v>84701</v>
          </cell>
        </row>
        <row r="426">
          <cell r="A426">
            <v>84702</v>
          </cell>
        </row>
        <row r="427">
          <cell r="A427">
            <v>84703</v>
          </cell>
        </row>
        <row r="428">
          <cell r="A428">
            <v>84704</v>
          </cell>
        </row>
        <row r="429">
          <cell r="A429">
            <v>84706</v>
          </cell>
        </row>
        <row r="430">
          <cell r="A430">
            <v>84710</v>
          </cell>
        </row>
        <row r="431">
          <cell r="A431">
            <v>84730</v>
          </cell>
        </row>
        <row r="432">
          <cell r="A432">
            <v>84740</v>
          </cell>
        </row>
        <row r="433">
          <cell r="A433">
            <v>84741</v>
          </cell>
        </row>
        <row r="434">
          <cell r="A434">
            <v>84742</v>
          </cell>
        </row>
        <row r="435">
          <cell r="A435">
            <v>84743</v>
          </cell>
        </row>
        <row r="436">
          <cell r="A436">
            <v>84744</v>
          </cell>
        </row>
        <row r="437">
          <cell r="A437">
            <v>84745</v>
          </cell>
        </row>
        <row r="438">
          <cell r="A438">
            <v>84746</v>
          </cell>
        </row>
        <row r="439">
          <cell r="A439">
            <v>84747</v>
          </cell>
        </row>
        <row r="440">
          <cell r="A440">
            <v>84748</v>
          </cell>
        </row>
        <row r="441">
          <cell r="A441">
            <v>84749</v>
          </cell>
        </row>
        <row r="442">
          <cell r="A442">
            <v>84750</v>
          </cell>
        </row>
        <row r="443">
          <cell r="A443">
            <v>84751</v>
          </cell>
        </row>
        <row r="444">
          <cell r="A444">
            <v>84758</v>
          </cell>
        </row>
        <row r="445">
          <cell r="A445">
            <v>84759</v>
          </cell>
        </row>
        <row r="446">
          <cell r="A446">
            <v>85001</v>
          </cell>
        </row>
        <row r="447">
          <cell r="A447">
            <v>85003</v>
          </cell>
        </row>
        <row r="448">
          <cell r="A448">
            <v>85010</v>
          </cell>
        </row>
        <row r="449">
          <cell r="A449">
            <v>85050</v>
          </cell>
        </row>
        <row r="450">
          <cell r="A450">
            <v>85051</v>
          </cell>
        </row>
        <row r="451">
          <cell r="A451">
            <v>85052</v>
          </cell>
        </row>
        <row r="452">
          <cell r="A452">
            <v>85053</v>
          </cell>
        </row>
        <row r="453">
          <cell r="A453">
            <v>85054</v>
          </cell>
        </row>
        <row r="454">
          <cell r="A454">
            <v>85055</v>
          </cell>
        </row>
        <row r="455">
          <cell r="A455">
            <v>85056</v>
          </cell>
        </row>
        <row r="456">
          <cell r="A456">
            <v>85057</v>
          </cell>
        </row>
        <row r="457">
          <cell r="A457">
            <v>85058</v>
          </cell>
        </row>
        <row r="458">
          <cell r="A458">
            <v>85059</v>
          </cell>
        </row>
        <row r="459">
          <cell r="A459">
            <v>85060</v>
          </cell>
        </row>
        <row r="460">
          <cell r="A460">
            <v>85062</v>
          </cell>
        </row>
        <row r="461">
          <cell r="A461">
            <v>85063</v>
          </cell>
        </row>
        <row r="462">
          <cell r="A462">
            <v>85064</v>
          </cell>
        </row>
        <row r="463">
          <cell r="A463">
            <v>85065</v>
          </cell>
        </row>
        <row r="464">
          <cell r="A464">
            <v>85100</v>
          </cell>
        </row>
        <row r="465">
          <cell r="A465">
            <v>85105</v>
          </cell>
        </row>
        <row r="466">
          <cell r="A466">
            <v>85106</v>
          </cell>
        </row>
        <row r="467">
          <cell r="A467">
            <v>85107</v>
          </cell>
        </row>
        <row r="468">
          <cell r="A468">
            <v>85108</v>
          </cell>
        </row>
        <row r="469">
          <cell r="A469">
            <v>85109</v>
          </cell>
        </row>
        <row r="470">
          <cell r="A470">
            <v>85111</v>
          </cell>
        </row>
        <row r="471">
          <cell r="A471">
            <v>85116</v>
          </cell>
        </row>
        <row r="472">
          <cell r="A472">
            <v>85120</v>
          </cell>
        </row>
        <row r="473">
          <cell r="A473">
            <v>85124</v>
          </cell>
        </row>
        <row r="474">
          <cell r="A474">
            <v>85126</v>
          </cell>
        </row>
        <row r="475">
          <cell r="A475">
            <v>85128</v>
          </cell>
        </row>
        <row r="476">
          <cell r="A476">
            <v>85134</v>
          </cell>
        </row>
        <row r="477">
          <cell r="A477">
            <v>85135</v>
          </cell>
        </row>
        <row r="478">
          <cell r="A478">
            <v>85145</v>
          </cell>
        </row>
        <row r="479">
          <cell r="A479">
            <v>85157</v>
          </cell>
        </row>
        <row r="480">
          <cell r="A480">
            <v>85158</v>
          </cell>
        </row>
        <row r="481">
          <cell r="A481">
            <v>85161</v>
          </cell>
        </row>
        <row r="482">
          <cell r="A482">
            <v>85162</v>
          </cell>
        </row>
        <row r="483">
          <cell r="A483">
            <v>85163</v>
          </cell>
        </row>
        <row r="484">
          <cell r="A484">
            <v>85164</v>
          </cell>
        </row>
        <row r="485">
          <cell r="A485">
            <v>85169</v>
          </cell>
        </row>
        <row r="486">
          <cell r="A486">
            <v>85170</v>
          </cell>
        </row>
        <row r="487">
          <cell r="A487">
            <v>85310</v>
          </cell>
        </row>
        <row r="488">
          <cell r="A488">
            <v>85320</v>
          </cell>
        </row>
        <row r="489">
          <cell r="A489">
            <v>85321</v>
          </cell>
        </row>
        <row r="490">
          <cell r="A490">
            <v>85323</v>
          </cell>
        </row>
        <row r="491">
          <cell r="A491">
            <v>85324</v>
          </cell>
        </row>
        <row r="492">
          <cell r="A492">
            <v>85328</v>
          </cell>
        </row>
        <row r="493">
          <cell r="A493">
            <v>85332</v>
          </cell>
        </row>
        <row r="494">
          <cell r="A494">
            <v>85333</v>
          </cell>
        </row>
        <row r="495">
          <cell r="A495">
            <v>85334</v>
          </cell>
        </row>
        <row r="496">
          <cell r="A496">
            <v>85335</v>
          </cell>
        </row>
        <row r="497">
          <cell r="A497">
            <v>85337</v>
          </cell>
        </row>
        <row r="498">
          <cell r="A498">
            <v>85338</v>
          </cell>
        </row>
        <row r="499">
          <cell r="A499">
            <v>85339</v>
          </cell>
        </row>
        <row r="500">
          <cell r="A500">
            <v>85346</v>
          </cell>
        </row>
        <row r="501">
          <cell r="A501">
            <v>85347</v>
          </cell>
        </row>
        <row r="502">
          <cell r="A502">
            <v>85349</v>
          </cell>
        </row>
        <row r="503">
          <cell r="A503">
            <v>85359</v>
          </cell>
        </row>
        <row r="504">
          <cell r="A504">
            <v>85360</v>
          </cell>
        </row>
        <row r="505">
          <cell r="A505">
            <v>85361</v>
          </cell>
        </row>
        <row r="506">
          <cell r="A506">
            <v>85362</v>
          </cell>
        </row>
        <row r="507">
          <cell r="A507">
            <v>85370</v>
          </cell>
        </row>
        <row r="508">
          <cell r="A508">
            <v>85372</v>
          </cell>
        </row>
        <row r="509">
          <cell r="A509">
            <v>85376</v>
          </cell>
        </row>
        <row r="510">
          <cell r="A510">
            <v>85377</v>
          </cell>
        </row>
        <row r="511">
          <cell r="A511">
            <v>85378</v>
          </cell>
        </row>
        <row r="512">
          <cell r="A512">
            <v>85379</v>
          </cell>
        </row>
        <row r="513">
          <cell r="A513">
            <v>85382</v>
          </cell>
        </row>
        <row r="514">
          <cell r="A514">
            <v>85383</v>
          </cell>
        </row>
        <row r="515">
          <cell r="A515">
            <v>85384</v>
          </cell>
        </row>
        <row r="516">
          <cell r="A516">
            <v>85385</v>
          </cell>
        </row>
        <row r="517">
          <cell r="A517">
            <v>85386</v>
          </cell>
        </row>
        <row r="518">
          <cell r="A518">
            <v>85387</v>
          </cell>
        </row>
        <row r="519">
          <cell r="A519">
            <v>85388</v>
          </cell>
        </row>
        <row r="520">
          <cell r="A520">
            <v>85389</v>
          </cell>
        </row>
        <row r="521">
          <cell r="A521">
            <v>85390</v>
          </cell>
        </row>
        <row r="522">
          <cell r="A522">
            <v>85391</v>
          </cell>
        </row>
        <row r="523">
          <cell r="A523">
            <v>85392</v>
          </cell>
        </row>
        <row r="524">
          <cell r="A524">
            <v>85393</v>
          </cell>
        </row>
        <row r="525">
          <cell r="A525">
            <v>85394</v>
          </cell>
        </row>
        <row r="526">
          <cell r="A526">
            <v>85500</v>
          </cell>
        </row>
        <row r="527">
          <cell r="A527">
            <v>85501</v>
          </cell>
        </row>
        <row r="528">
          <cell r="A528">
            <v>85520</v>
          </cell>
        </row>
        <row r="529">
          <cell r="A529">
            <v>85521</v>
          </cell>
        </row>
        <row r="530">
          <cell r="A530">
            <v>85522</v>
          </cell>
        </row>
        <row r="531">
          <cell r="A531">
            <v>85523</v>
          </cell>
        </row>
        <row r="532">
          <cell r="A532">
            <v>85550</v>
          </cell>
        </row>
        <row r="533">
          <cell r="A533">
            <v>85560</v>
          </cell>
        </row>
        <row r="534">
          <cell r="A534">
            <v>85561</v>
          </cell>
        </row>
        <row r="535">
          <cell r="A535">
            <v>85582</v>
          </cell>
        </row>
        <row r="536">
          <cell r="A536">
            <v>85650</v>
          </cell>
        </row>
        <row r="537">
          <cell r="A537">
            <v>86001</v>
          </cell>
        </row>
        <row r="538">
          <cell r="A538">
            <v>86002</v>
          </cell>
        </row>
        <row r="539">
          <cell r="A539">
            <v>86003</v>
          </cell>
        </row>
        <row r="540">
          <cell r="A540">
            <v>86005</v>
          </cell>
        </row>
        <row r="541">
          <cell r="A541">
            <v>86010</v>
          </cell>
        </row>
        <row r="542">
          <cell r="A542">
            <v>86011</v>
          </cell>
        </row>
        <row r="543">
          <cell r="A543">
            <v>86012</v>
          </cell>
        </row>
        <row r="544">
          <cell r="A544">
            <v>86013</v>
          </cell>
        </row>
        <row r="545">
          <cell r="A545">
            <v>86014</v>
          </cell>
        </row>
        <row r="546">
          <cell r="A546">
            <v>86015</v>
          </cell>
        </row>
        <row r="547">
          <cell r="A547">
            <v>86016</v>
          </cell>
        </row>
        <row r="548">
          <cell r="A548">
            <v>86017</v>
          </cell>
        </row>
        <row r="549">
          <cell r="A549">
            <v>86018</v>
          </cell>
        </row>
        <row r="550">
          <cell r="A550">
            <v>86050</v>
          </cell>
        </row>
        <row r="551">
          <cell r="A551">
            <v>86052</v>
          </cell>
        </row>
        <row r="552">
          <cell r="A552">
            <v>86101</v>
          </cell>
        </row>
        <row r="553">
          <cell r="A553">
            <v>86106</v>
          </cell>
        </row>
        <row r="554">
          <cell r="A554">
            <v>86107</v>
          </cell>
        </row>
        <row r="555">
          <cell r="A555">
            <v>86110</v>
          </cell>
        </row>
        <row r="556">
          <cell r="A556">
            <v>86300</v>
          </cell>
        </row>
        <row r="557">
          <cell r="A557">
            <v>86305</v>
          </cell>
        </row>
        <row r="558">
          <cell r="A558">
            <v>86320</v>
          </cell>
        </row>
        <row r="559">
          <cell r="A559">
            <v>87001</v>
          </cell>
        </row>
        <row r="560">
          <cell r="A560">
            <v>87010</v>
          </cell>
        </row>
        <row r="561">
          <cell r="A561">
            <v>87100</v>
          </cell>
        </row>
        <row r="562">
          <cell r="A562">
            <v>87301</v>
          </cell>
        </row>
        <row r="563">
          <cell r="A563">
            <v>87401</v>
          </cell>
        </row>
        <row r="564">
          <cell r="A564">
            <v>89002</v>
          </cell>
        </row>
        <row r="565">
          <cell r="A565">
            <v>89101</v>
          </cell>
        </row>
        <row r="566">
          <cell r="A566">
            <v>89102</v>
          </cell>
        </row>
        <row r="567">
          <cell r="A567">
            <v>89105</v>
          </cell>
        </row>
        <row r="568">
          <cell r="A568">
            <v>89107</v>
          </cell>
        </row>
        <row r="569">
          <cell r="A569">
            <v>89108</v>
          </cell>
        </row>
        <row r="570">
          <cell r="A570">
            <v>89109</v>
          </cell>
        </row>
        <row r="571">
          <cell r="A571">
            <v>89226</v>
          </cell>
        </row>
        <row r="572">
          <cell r="A572">
            <v>89227</v>
          </cell>
        </row>
        <row r="573">
          <cell r="A573">
            <v>89228</v>
          </cell>
        </row>
        <row r="574">
          <cell r="A574">
            <v>89229</v>
          </cell>
        </row>
        <row r="575">
          <cell r="A575">
            <v>89230</v>
          </cell>
        </row>
        <row r="576">
          <cell r="A576">
            <v>89231</v>
          </cell>
        </row>
        <row r="577">
          <cell r="A577">
            <v>89232</v>
          </cell>
        </row>
        <row r="578">
          <cell r="A578">
            <v>89233</v>
          </cell>
        </row>
        <row r="579">
          <cell r="A579">
            <v>89234</v>
          </cell>
        </row>
        <row r="580">
          <cell r="A580">
            <v>89235</v>
          </cell>
        </row>
        <row r="581">
          <cell r="A581">
            <v>89910</v>
          </cell>
        </row>
        <row r="584">
          <cell r="A584" t="str">
            <v>Obj Acct</v>
          </cell>
        </row>
        <row r="585">
          <cell r="A585">
            <v>4000</v>
          </cell>
        </row>
        <row r="586">
          <cell r="A586">
            <v>4050</v>
          </cell>
        </row>
        <row r="587">
          <cell r="A587">
            <v>4051</v>
          </cell>
        </row>
        <row r="588">
          <cell r="A588">
            <v>4060</v>
          </cell>
        </row>
        <row r="589">
          <cell r="A589">
            <v>4170</v>
          </cell>
        </row>
        <row r="590">
          <cell r="A590">
            <v>4171</v>
          </cell>
        </row>
        <row r="591">
          <cell r="A591">
            <v>4179</v>
          </cell>
        </row>
        <row r="592">
          <cell r="A592">
            <v>4201</v>
          </cell>
        </row>
        <row r="593">
          <cell r="A593">
            <v>4202</v>
          </cell>
        </row>
        <row r="594">
          <cell r="A594">
            <v>4203</v>
          </cell>
        </row>
        <row r="595">
          <cell r="A595">
            <v>4204</v>
          </cell>
        </row>
        <row r="596">
          <cell r="A596">
            <v>4205</v>
          </cell>
        </row>
        <row r="597">
          <cell r="A597">
            <v>4241</v>
          </cell>
        </row>
        <row r="598">
          <cell r="A598">
            <v>4242</v>
          </cell>
        </row>
        <row r="599">
          <cell r="A599">
            <v>4243</v>
          </cell>
        </row>
        <row r="600">
          <cell r="A600">
            <v>4247</v>
          </cell>
        </row>
        <row r="601">
          <cell r="A601">
            <v>4248</v>
          </cell>
        </row>
        <row r="602">
          <cell r="A602">
            <v>4249</v>
          </cell>
        </row>
        <row r="603">
          <cell r="A603">
            <v>4251</v>
          </cell>
        </row>
        <row r="604">
          <cell r="A604">
            <v>4410</v>
          </cell>
        </row>
        <row r="605">
          <cell r="A605">
            <v>4441</v>
          </cell>
        </row>
        <row r="606">
          <cell r="A606">
            <v>4460</v>
          </cell>
        </row>
        <row r="607">
          <cell r="A607">
            <v>4461</v>
          </cell>
        </row>
        <row r="608">
          <cell r="A608">
            <v>4510</v>
          </cell>
        </row>
        <row r="609">
          <cell r="A609">
            <v>4511</v>
          </cell>
        </row>
        <row r="610">
          <cell r="A610">
            <v>4513</v>
          </cell>
        </row>
        <row r="611">
          <cell r="A611">
            <v>4514</v>
          </cell>
        </row>
        <row r="612">
          <cell r="A612">
            <v>4530</v>
          </cell>
        </row>
        <row r="613">
          <cell r="A613">
            <v>4531</v>
          </cell>
        </row>
        <row r="614">
          <cell r="A614">
            <v>4532</v>
          </cell>
        </row>
        <row r="615">
          <cell r="A615">
            <v>4550</v>
          </cell>
        </row>
        <row r="616">
          <cell r="A616">
            <v>4551</v>
          </cell>
        </row>
        <row r="617">
          <cell r="A617">
            <v>4552</v>
          </cell>
        </row>
        <row r="618">
          <cell r="A618">
            <v>4560</v>
          </cell>
        </row>
        <row r="619">
          <cell r="A619">
            <v>4561</v>
          </cell>
        </row>
        <row r="620">
          <cell r="A620">
            <v>4562</v>
          </cell>
        </row>
        <row r="621">
          <cell r="A621">
            <v>4580</v>
          </cell>
        </row>
        <row r="622">
          <cell r="A622">
            <v>4620</v>
          </cell>
        </row>
        <row r="623">
          <cell r="A623">
            <v>4621</v>
          </cell>
        </row>
        <row r="624">
          <cell r="A624">
            <v>4650</v>
          </cell>
        </row>
        <row r="625">
          <cell r="A625">
            <v>4651</v>
          </cell>
        </row>
        <row r="626">
          <cell r="A626">
            <v>4652</v>
          </cell>
        </row>
        <row r="627">
          <cell r="A627">
            <v>4653</v>
          </cell>
        </row>
        <row r="628">
          <cell r="A628">
            <v>4654</v>
          </cell>
        </row>
        <row r="629">
          <cell r="A629">
            <v>4655</v>
          </cell>
        </row>
        <row r="630">
          <cell r="A630">
            <v>4657</v>
          </cell>
        </row>
        <row r="631">
          <cell r="A631">
            <v>4720</v>
          </cell>
        </row>
        <row r="632">
          <cell r="A632">
            <v>4721</v>
          </cell>
        </row>
        <row r="633">
          <cell r="A633">
            <v>4927</v>
          </cell>
        </row>
        <row r="634">
          <cell r="A634">
            <v>4950</v>
          </cell>
        </row>
        <row r="635">
          <cell r="A635">
            <v>4960</v>
          </cell>
        </row>
        <row r="636">
          <cell r="A636">
            <v>4962</v>
          </cell>
        </row>
        <row r="637">
          <cell r="A637">
            <v>4965</v>
          </cell>
        </row>
        <row r="638">
          <cell r="A638">
            <v>4970</v>
          </cell>
        </row>
        <row r="639">
          <cell r="A639">
            <v>4971</v>
          </cell>
        </row>
        <row r="640">
          <cell r="A640">
            <v>4972</v>
          </cell>
        </row>
        <row r="641">
          <cell r="A641">
            <v>4980</v>
          </cell>
        </row>
        <row r="642">
          <cell r="A642">
            <v>4981</v>
          </cell>
        </row>
        <row r="643">
          <cell r="A643">
            <v>4982</v>
          </cell>
        </row>
        <row r="644">
          <cell r="A644">
            <v>5100</v>
          </cell>
        </row>
        <row r="645">
          <cell r="A645">
            <v>5101</v>
          </cell>
        </row>
        <row r="646">
          <cell r="A646">
            <v>5110</v>
          </cell>
        </row>
        <row r="647">
          <cell r="A647">
            <v>5112</v>
          </cell>
        </row>
        <row r="648">
          <cell r="A648">
            <v>5114</v>
          </cell>
        </row>
        <row r="649">
          <cell r="A649">
            <v>5140</v>
          </cell>
        </row>
        <row r="650">
          <cell r="A650">
            <v>5141</v>
          </cell>
        </row>
        <row r="651">
          <cell r="A651">
            <v>5142</v>
          </cell>
        </row>
        <row r="652">
          <cell r="A652">
            <v>5144</v>
          </cell>
        </row>
        <row r="653">
          <cell r="A653">
            <v>5150</v>
          </cell>
        </row>
        <row r="654">
          <cell r="A654">
            <v>5210</v>
          </cell>
        </row>
        <row r="655">
          <cell r="A655">
            <v>5212</v>
          </cell>
        </row>
        <row r="656">
          <cell r="A656">
            <v>5213</v>
          </cell>
        </row>
        <row r="657">
          <cell r="A657">
            <v>5214</v>
          </cell>
        </row>
        <row r="658">
          <cell r="A658">
            <v>5215</v>
          </cell>
        </row>
        <row r="659">
          <cell r="A659">
            <v>5216</v>
          </cell>
        </row>
        <row r="660">
          <cell r="A660">
            <v>5231</v>
          </cell>
        </row>
        <row r="661">
          <cell r="A661">
            <v>5232</v>
          </cell>
        </row>
        <row r="662">
          <cell r="A662">
            <v>5233</v>
          </cell>
        </row>
        <row r="663">
          <cell r="A663">
            <v>5250</v>
          </cell>
        </row>
        <row r="664">
          <cell r="A664">
            <v>5251</v>
          </cell>
        </row>
        <row r="665">
          <cell r="A665">
            <v>5253</v>
          </cell>
        </row>
        <row r="666">
          <cell r="A666">
            <v>5255</v>
          </cell>
        </row>
        <row r="667">
          <cell r="A667">
            <v>5300</v>
          </cell>
        </row>
        <row r="668">
          <cell r="A668">
            <v>5301</v>
          </cell>
        </row>
        <row r="669">
          <cell r="A669">
            <v>5303</v>
          </cell>
        </row>
        <row r="670">
          <cell r="A670">
            <v>5320</v>
          </cell>
        </row>
        <row r="671">
          <cell r="A671">
            <v>5331</v>
          </cell>
        </row>
        <row r="672">
          <cell r="A672">
            <v>5340</v>
          </cell>
        </row>
        <row r="673">
          <cell r="A673">
            <v>5341</v>
          </cell>
        </row>
        <row r="674">
          <cell r="A674">
            <v>5342</v>
          </cell>
        </row>
        <row r="675">
          <cell r="A675">
            <v>5344</v>
          </cell>
        </row>
        <row r="676">
          <cell r="A676">
            <v>5345</v>
          </cell>
        </row>
        <row r="677">
          <cell r="A677">
            <v>5360</v>
          </cell>
        </row>
        <row r="678">
          <cell r="A678">
            <v>5361</v>
          </cell>
        </row>
        <row r="679">
          <cell r="A679">
            <v>5362</v>
          </cell>
        </row>
        <row r="680">
          <cell r="A680">
            <v>5363</v>
          </cell>
        </row>
        <row r="681">
          <cell r="A681">
            <v>5364</v>
          </cell>
        </row>
        <row r="682">
          <cell r="A682">
            <v>5365</v>
          </cell>
        </row>
        <row r="683">
          <cell r="A683">
            <v>5366</v>
          </cell>
        </row>
        <row r="684">
          <cell r="A684">
            <v>5380</v>
          </cell>
        </row>
        <row r="685">
          <cell r="A685">
            <v>5381</v>
          </cell>
        </row>
        <row r="686">
          <cell r="A686">
            <v>5382</v>
          </cell>
        </row>
        <row r="687">
          <cell r="A687">
            <v>5383</v>
          </cell>
        </row>
        <row r="688">
          <cell r="A688">
            <v>5384</v>
          </cell>
        </row>
        <row r="689">
          <cell r="A689">
            <v>5385</v>
          </cell>
        </row>
        <row r="690">
          <cell r="A690">
            <v>5400</v>
          </cell>
        </row>
        <row r="691">
          <cell r="A691">
            <v>5401</v>
          </cell>
        </row>
        <row r="692">
          <cell r="A692">
            <v>5450</v>
          </cell>
        </row>
        <row r="693">
          <cell r="A693">
            <v>5455</v>
          </cell>
        </row>
        <row r="694">
          <cell r="A694">
            <v>5456</v>
          </cell>
        </row>
        <row r="695">
          <cell r="A695">
            <v>5457</v>
          </cell>
        </row>
        <row r="696">
          <cell r="A696">
            <v>5502</v>
          </cell>
        </row>
        <row r="697">
          <cell r="A697">
            <v>5600</v>
          </cell>
        </row>
        <row r="698">
          <cell r="A698">
            <v>5601</v>
          </cell>
        </row>
        <row r="699">
          <cell r="A699">
            <v>5602</v>
          </cell>
        </row>
        <row r="700">
          <cell r="A700">
            <v>5604</v>
          </cell>
        </row>
        <row r="701">
          <cell r="A701">
            <v>5606</v>
          </cell>
        </row>
        <row r="702">
          <cell r="A702">
            <v>5608</v>
          </cell>
        </row>
        <row r="703">
          <cell r="A703">
            <v>5612</v>
          </cell>
        </row>
        <row r="704">
          <cell r="A704">
            <v>5614</v>
          </cell>
        </row>
        <row r="705">
          <cell r="A705">
            <v>5616</v>
          </cell>
        </row>
        <row r="706">
          <cell r="A706">
            <v>5618</v>
          </cell>
        </row>
        <row r="707">
          <cell r="A707">
            <v>5620</v>
          </cell>
        </row>
        <row r="708">
          <cell r="A708">
            <v>5622</v>
          </cell>
        </row>
        <row r="709">
          <cell r="A709">
            <v>5630</v>
          </cell>
        </row>
        <row r="710">
          <cell r="A710">
            <v>5633</v>
          </cell>
        </row>
        <row r="711">
          <cell r="A711">
            <v>5634</v>
          </cell>
        </row>
        <row r="712">
          <cell r="A712">
            <v>5635</v>
          </cell>
        </row>
        <row r="713">
          <cell r="A713">
            <v>5636</v>
          </cell>
        </row>
        <row r="714">
          <cell r="A714">
            <v>5699</v>
          </cell>
        </row>
        <row r="715">
          <cell r="A715">
            <v>6110</v>
          </cell>
        </row>
        <row r="716">
          <cell r="A716">
            <v>6140</v>
          </cell>
        </row>
        <row r="717">
          <cell r="A717">
            <v>6142</v>
          </cell>
        </row>
        <row r="718">
          <cell r="A718">
            <v>6143</v>
          </cell>
        </row>
        <row r="719">
          <cell r="A719">
            <v>6151</v>
          </cell>
        </row>
        <row r="720">
          <cell r="A720">
            <v>6180</v>
          </cell>
        </row>
        <row r="721">
          <cell r="A721">
            <v>6181</v>
          </cell>
        </row>
        <row r="722">
          <cell r="A722">
            <v>6182</v>
          </cell>
        </row>
        <row r="723">
          <cell r="A723">
            <v>6200</v>
          </cell>
        </row>
        <row r="724">
          <cell r="A724">
            <v>6201</v>
          </cell>
        </row>
        <row r="725">
          <cell r="A725">
            <v>6202</v>
          </cell>
        </row>
        <row r="726">
          <cell r="A726">
            <v>6208</v>
          </cell>
        </row>
        <row r="727">
          <cell r="A727">
            <v>6236</v>
          </cell>
        </row>
        <row r="728">
          <cell r="A728">
            <v>6300</v>
          </cell>
        </row>
        <row r="729">
          <cell r="A729">
            <v>6301</v>
          </cell>
        </row>
        <row r="730">
          <cell r="A730">
            <v>6302</v>
          </cell>
        </row>
        <row r="731">
          <cell r="A731">
            <v>6450</v>
          </cell>
        </row>
        <row r="732">
          <cell r="A732">
            <v>6452</v>
          </cell>
        </row>
        <row r="733">
          <cell r="A733">
            <v>6601</v>
          </cell>
        </row>
        <row r="734">
          <cell r="A734">
            <v>6610</v>
          </cell>
        </row>
        <row r="735">
          <cell r="A735">
            <v>6626</v>
          </cell>
        </row>
        <row r="736">
          <cell r="A736">
            <v>6627</v>
          </cell>
        </row>
        <row r="737">
          <cell r="A737">
            <v>6640</v>
          </cell>
        </row>
        <row r="738">
          <cell r="A738">
            <v>6642</v>
          </cell>
        </row>
        <row r="739">
          <cell r="A739">
            <v>6720</v>
          </cell>
        </row>
        <row r="740">
          <cell r="A740">
            <v>6721</v>
          </cell>
        </row>
        <row r="741">
          <cell r="A741">
            <v>7010</v>
          </cell>
        </row>
        <row r="742">
          <cell r="A742">
            <v>7012</v>
          </cell>
        </row>
        <row r="743">
          <cell r="A743">
            <v>7014</v>
          </cell>
        </row>
        <row r="744">
          <cell r="A744">
            <v>7210</v>
          </cell>
        </row>
        <row r="745">
          <cell r="A745">
            <v>7211</v>
          </cell>
        </row>
        <row r="746">
          <cell r="A746">
            <v>7212</v>
          </cell>
        </row>
        <row r="747">
          <cell r="A747">
            <v>7213</v>
          </cell>
        </row>
        <row r="748">
          <cell r="A748">
            <v>7214</v>
          </cell>
        </row>
        <row r="749">
          <cell r="A749">
            <v>7215</v>
          </cell>
        </row>
        <row r="750">
          <cell r="A750">
            <v>7216</v>
          </cell>
        </row>
        <row r="751">
          <cell r="A751">
            <v>7217</v>
          </cell>
        </row>
        <row r="752">
          <cell r="A752">
            <v>7218</v>
          </cell>
        </row>
        <row r="753">
          <cell r="A753">
            <v>7220</v>
          </cell>
        </row>
        <row r="754">
          <cell r="A754">
            <v>7222</v>
          </cell>
        </row>
        <row r="755">
          <cell r="A755">
            <v>7230</v>
          </cell>
        </row>
        <row r="756">
          <cell r="A756">
            <v>7231</v>
          </cell>
        </row>
        <row r="757">
          <cell r="A757">
            <v>7232</v>
          </cell>
        </row>
        <row r="758">
          <cell r="A758">
            <v>7290</v>
          </cell>
        </row>
        <row r="759">
          <cell r="A759">
            <v>7810</v>
          </cell>
        </row>
        <row r="760">
          <cell r="A760">
            <v>8100</v>
          </cell>
        </row>
        <row r="761">
          <cell r="A761">
            <v>8108</v>
          </cell>
        </row>
        <row r="762">
          <cell r="A762">
            <v>8112</v>
          </cell>
        </row>
        <row r="763">
          <cell r="A763">
            <v>8126</v>
          </cell>
        </row>
        <row r="764">
          <cell r="A764">
            <v>8130</v>
          </cell>
        </row>
        <row r="765">
          <cell r="A765">
            <v>8150</v>
          </cell>
        </row>
        <row r="766">
          <cell r="A766">
            <v>8177</v>
          </cell>
        </row>
        <row r="767">
          <cell r="A767">
            <v>8189</v>
          </cell>
        </row>
        <row r="768">
          <cell r="A768">
            <v>8193</v>
          </cell>
        </row>
        <row r="769">
          <cell r="A769">
            <v>8197</v>
          </cell>
        </row>
        <row r="770">
          <cell r="A770">
            <v>8198</v>
          </cell>
        </row>
        <row r="771">
          <cell r="A771">
            <v>8199</v>
          </cell>
        </row>
        <row r="772">
          <cell r="A772">
            <v>8200</v>
          </cell>
        </row>
        <row r="773">
          <cell r="A773">
            <v>8201</v>
          </cell>
        </row>
        <row r="774">
          <cell r="A774">
            <v>8202</v>
          </cell>
        </row>
        <row r="775">
          <cell r="A775">
            <v>8214</v>
          </cell>
        </row>
        <row r="776">
          <cell r="A776">
            <v>8250</v>
          </cell>
        </row>
        <row r="777">
          <cell r="A777">
            <v>8251</v>
          </cell>
        </row>
        <row r="778">
          <cell r="A778">
            <v>8252</v>
          </cell>
        </row>
        <row r="779">
          <cell r="A779">
            <v>8254</v>
          </cell>
        </row>
        <row r="780">
          <cell r="A780">
            <v>8255</v>
          </cell>
        </row>
        <row r="781">
          <cell r="A781">
            <v>8256</v>
          </cell>
        </row>
        <row r="782">
          <cell r="A782">
            <v>8257</v>
          </cell>
        </row>
        <row r="783">
          <cell r="A783">
            <v>8263</v>
          </cell>
        </row>
        <row r="784">
          <cell r="A784">
            <v>8264</v>
          </cell>
        </row>
        <row r="785">
          <cell r="A785">
            <v>8290</v>
          </cell>
        </row>
        <row r="786">
          <cell r="A786">
            <v>8291</v>
          </cell>
        </row>
        <row r="787">
          <cell r="A787">
            <v>8310</v>
          </cell>
        </row>
        <row r="788">
          <cell r="A788">
            <v>8311</v>
          </cell>
        </row>
        <row r="789">
          <cell r="A789">
            <v>8313</v>
          </cell>
        </row>
        <row r="790">
          <cell r="A790">
            <v>8315</v>
          </cell>
        </row>
        <row r="791">
          <cell r="A791">
            <v>8317</v>
          </cell>
        </row>
        <row r="792">
          <cell r="A792">
            <v>8350</v>
          </cell>
        </row>
        <row r="793">
          <cell r="A793">
            <v>8351</v>
          </cell>
        </row>
        <row r="794">
          <cell r="A794">
            <v>8353</v>
          </cell>
        </row>
        <row r="795">
          <cell r="A795">
            <v>8354</v>
          </cell>
        </row>
        <row r="796">
          <cell r="A796">
            <v>8362</v>
          </cell>
        </row>
        <row r="797">
          <cell r="A797">
            <v>8364</v>
          </cell>
        </row>
        <row r="798">
          <cell r="A798">
            <v>8402</v>
          </cell>
        </row>
        <row r="799">
          <cell r="A799">
            <v>8454</v>
          </cell>
        </row>
        <row r="800">
          <cell r="A800">
            <v>8470</v>
          </cell>
        </row>
        <row r="801">
          <cell r="A801">
            <v>8471</v>
          </cell>
        </row>
        <row r="802">
          <cell r="A802">
            <v>8472</v>
          </cell>
        </row>
        <row r="803">
          <cell r="A803">
            <v>8474</v>
          </cell>
        </row>
        <row r="804">
          <cell r="A804">
            <v>8475</v>
          </cell>
        </row>
        <row r="805">
          <cell r="A805">
            <v>8477</v>
          </cell>
        </row>
        <row r="806">
          <cell r="A806">
            <v>8482</v>
          </cell>
        </row>
        <row r="807">
          <cell r="A807">
            <v>8484</v>
          </cell>
        </row>
        <row r="808">
          <cell r="A808">
            <v>8511</v>
          </cell>
        </row>
        <row r="809">
          <cell r="A809">
            <v>8560</v>
          </cell>
        </row>
        <row r="810">
          <cell r="A810">
            <v>8562</v>
          </cell>
        </row>
        <row r="811">
          <cell r="A811">
            <v>8565</v>
          </cell>
        </row>
        <row r="812">
          <cell r="A812">
            <v>8574</v>
          </cell>
        </row>
        <row r="813">
          <cell r="A813">
            <v>8720</v>
          </cell>
        </row>
        <row r="814">
          <cell r="A814">
            <v>8721</v>
          </cell>
        </row>
        <row r="815">
          <cell r="A815">
            <v>8728</v>
          </cell>
        </row>
        <row r="816">
          <cell r="A816">
            <v>8730</v>
          </cell>
        </row>
        <row r="817">
          <cell r="A817">
            <v>8802</v>
          </cell>
        </row>
        <row r="818">
          <cell r="A818">
            <v>8910</v>
          </cell>
        </row>
        <row r="819">
          <cell r="A819">
            <v>8911</v>
          </cell>
        </row>
        <row r="820">
          <cell r="A820">
            <v>8913</v>
          </cell>
        </row>
        <row r="821">
          <cell r="A821">
            <v>8914</v>
          </cell>
        </row>
        <row r="822">
          <cell r="A822">
            <v>8915</v>
          </cell>
        </row>
        <row r="823">
          <cell r="A823">
            <v>8916</v>
          </cell>
        </row>
        <row r="824">
          <cell r="A824">
            <v>8917</v>
          </cell>
        </row>
        <row r="825">
          <cell r="A825">
            <v>8918</v>
          </cell>
        </row>
        <row r="826">
          <cell r="A826">
            <v>8919</v>
          </cell>
        </row>
        <row r="827">
          <cell r="A827">
            <v>8920</v>
          </cell>
        </row>
        <row r="828">
          <cell r="A828">
            <v>8925</v>
          </cell>
        </row>
        <row r="829">
          <cell r="A829">
            <v>8940</v>
          </cell>
        </row>
      </sheetData>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ypes"/>
      <sheetName val="UA details"/>
      <sheetName val="AccessResults"/>
      <sheetName val="CreateOutputBlock"/>
      <sheetName val="DataSummary"/>
      <sheetName val="ModDataSumm"/>
      <sheetName val="DlgDataSumm"/>
      <sheetName val=".PUPILS"/>
      <sheetName val=".FSM"/>
      <sheetName val=".SCHOOLS"/>
      <sheetName val=".KS2"/>
      <sheetName val=".POPULATION"/>
      <sheetName val=".DEATHS"/>
      <sheetName val=".TOURISM"/>
      <sheetName val=".IMD"/>
      <sheetName val=".CENSUS_DATA"/>
      <sheetName val=".SETTLEMENT"/>
      <sheetName val=".DISPERSION"/>
      <sheetName val=".ROADS"/>
      <sheetName val="UNINTENT_HOME"/>
      <sheetName val="INTENT_HOME"/>
      <sheetName val="ELIGIBLE_HOME"/>
      <sheetName val="ELIGIBLE_NOT_HOME"/>
      <sheetName val="INELIGIBLE"/>
      <sheetName val=".HOMELESSNESS"/>
      <sheetName val="HMO"/>
      <sheetName val="DFG_MANDATORY"/>
      <sheetName val="HOME_REPAIR"/>
      <sheetName val=".RENOVATION_GRANT"/>
      <sheetName val="ModValid"/>
      <sheetName val="DlgValid"/>
      <sheetName val="TabValid"/>
      <sheetName val="ModPrint"/>
      <sheetName val="Questionnaire"/>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refreshError="1"/>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sheetName val="Bal"/>
      <sheetName val="Upload (2)"/>
      <sheetName val="VAT"/>
      <sheetName val="Paydif"/>
      <sheetName val="DDs "/>
      <sheetName val="Payroll"/>
      <sheetName val="Budget FY"/>
      <sheetName val="CC Totals"/>
      <sheetName val="Budget Mar"/>
      <sheetName val="Upload"/>
      <sheetName val="last one"/>
      <sheetName val="all"/>
      <sheetName val="mary"/>
      <sheetName val="ruth"/>
      <sheetName val="rich"/>
      <sheetName val="fred"/>
      <sheetName val="Barry"/>
      <sheetName val="jnl for fin 1872"/>
    </sheetNames>
    <sheetDataSet>
      <sheetData sheetId="0"/>
      <sheetData sheetId="1"/>
      <sheetData sheetId="2" refreshError="1">
        <row r="3">
          <cell r="A3">
            <v>80005</v>
          </cell>
          <cell r="B3" t="str">
            <v>Childrens House</v>
          </cell>
          <cell r="C3" t="str">
            <v>BBFW</v>
          </cell>
          <cell r="D3" t="str">
            <v>VN 08/09 CSV60 Sch Balances B/F</v>
          </cell>
          <cell r="E3">
            <v>117700</v>
          </cell>
          <cell r="F3">
            <v>70594.89</v>
          </cell>
          <cell r="G3">
            <v>47105.11</v>
          </cell>
          <cell r="H3">
            <v>-40</v>
          </cell>
          <cell r="I3">
            <v>47065.11</v>
          </cell>
          <cell r="J3">
            <v>-46086.55</v>
          </cell>
          <cell r="K3">
            <v>978.55999999999767</v>
          </cell>
        </row>
        <row r="4">
          <cell r="A4">
            <v>80010</v>
          </cell>
          <cell r="B4" t="str">
            <v>Columbia Market</v>
          </cell>
          <cell r="C4" t="str">
            <v>BBFW</v>
          </cell>
          <cell r="D4" t="str">
            <v>VN 08/09 CSV60 Sch Balances B/F</v>
          </cell>
          <cell r="E4">
            <v>295300</v>
          </cell>
          <cell r="F4">
            <v>214111.98</v>
          </cell>
          <cell r="G4">
            <v>81188.01999999999</v>
          </cell>
          <cell r="H4">
            <v>34</v>
          </cell>
          <cell r="I4">
            <v>81222.01999999999</v>
          </cell>
          <cell r="J4">
            <v>-56271.79</v>
          </cell>
          <cell r="K4">
            <v>24950.229999999989</v>
          </cell>
        </row>
        <row r="5">
          <cell r="A5">
            <v>80025</v>
          </cell>
          <cell r="B5" t="str">
            <v>Old Church</v>
          </cell>
          <cell r="C5" t="str">
            <v>BBFW</v>
          </cell>
          <cell r="D5" t="str">
            <v>VN 08/09 CSV60 Sch Balances B/F</v>
          </cell>
          <cell r="E5">
            <v>260700</v>
          </cell>
          <cell r="F5">
            <v>155623.65</v>
          </cell>
          <cell r="G5">
            <v>105076.35</v>
          </cell>
          <cell r="H5">
            <v>33</v>
          </cell>
          <cell r="I5">
            <v>105109.35</v>
          </cell>
          <cell r="J5">
            <v>-62296.38</v>
          </cell>
          <cell r="K5">
            <v>42812.970000000008</v>
          </cell>
        </row>
        <row r="6">
          <cell r="A6">
            <v>80030</v>
          </cell>
          <cell r="B6" t="str">
            <v>Rachel Keeling</v>
          </cell>
          <cell r="C6" t="str">
            <v>BBFW</v>
          </cell>
          <cell r="D6" t="str">
            <v>VN 08/09 CSV60 Sch Balances B/F</v>
          </cell>
          <cell r="E6">
            <v>156800</v>
          </cell>
          <cell r="F6">
            <v>158481.89000000001</v>
          </cell>
          <cell r="G6">
            <v>-1681.890000000014</v>
          </cell>
          <cell r="H6">
            <v>4</v>
          </cell>
          <cell r="I6">
            <v>-1677.890000000014</v>
          </cell>
          <cell r="J6">
            <v>0</v>
          </cell>
          <cell r="K6">
            <v>-1677.890000000014</v>
          </cell>
        </row>
        <row r="7">
          <cell r="A7">
            <v>80000</v>
          </cell>
          <cell r="B7" t="str">
            <v>Alice Model</v>
          </cell>
          <cell r="C7" t="str">
            <v>BBFW</v>
          </cell>
          <cell r="D7" t="str">
            <v>VN 08/09 CSV60 Sch Balances B/F</v>
          </cell>
          <cell r="E7">
            <v>138200</v>
          </cell>
          <cell r="F7">
            <v>135495.32999999999</v>
          </cell>
          <cell r="G7">
            <v>2704.6700000000128</v>
          </cell>
          <cell r="H7">
            <v>29</v>
          </cell>
          <cell r="I7">
            <v>2733.6700000000128</v>
          </cell>
          <cell r="J7">
            <v>0</v>
          </cell>
          <cell r="K7">
            <v>2733.6700000000128</v>
          </cell>
        </row>
        <row r="8">
          <cell r="A8">
            <v>80020</v>
          </cell>
          <cell r="B8" t="str">
            <v>Harry Roberts</v>
          </cell>
          <cell r="C8" t="str">
            <v>BBFW</v>
          </cell>
          <cell r="D8" t="str">
            <v>VN 08/09 CSV60 Sch Balances B/F</v>
          </cell>
          <cell r="E8">
            <v>302800</v>
          </cell>
          <cell r="F8">
            <v>287123.93</v>
          </cell>
          <cell r="G8">
            <v>15676.070000000007</v>
          </cell>
          <cell r="H8">
            <v>30</v>
          </cell>
          <cell r="I8">
            <v>15706.070000000007</v>
          </cell>
          <cell r="J8">
            <v>-17050</v>
          </cell>
          <cell r="K8">
            <v>-1343.929999999993</v>
          </cell>
        </row>
        <row r="9">
          <cell r="A9">
            <v>80435</v>
          </cell>
          <cell r="B9" t="str">
            <v>Old Ford</v>
          </cell>
          <cell r="C9" t="str">
            <v>BBFW</v>
          </cell>
          <cell r="D9" t="str">
            <v>VN 08/09 CSV60 Sch Balances B/F</v>
          </cell>
          <cell r="E9">
            <v>709900</v>
          </cell>
          <cell r="F9">
            <v>305827.13</v>
          </cell>
          <cell r="G9">
            <v>404072.87</v>
          </cell>
          <cell r="H9">
            <v>3</v>
          </cell>
          <cell r="I9">
            <v>404075.87</v>
          </cell>
          <cell r="J9">
            <v>-404771</v>
          </cell>
          <cell r="K9">
            <v>-695.13000000000466</v>
          </cell>
        </row>
        <row r="10">
          <cell r="A10">
            <v>80440</v>
          </cell>
          <cell r="B10" t="str">
            <v>St Mary and St Michael</v>
          </cell>
          <cell r="C10" t="str">
            <v>BBFW</v>
          </cell>
          <cell r="D10" t="str">
            <v>VN 08/09 CSV60 Sch Balances B/F</v>
          </cell>
          <cell r="E10">
            <v>70800</v>
          </cell>
          <cell r="F10">
            <v>49026.670000000195</v>
          </cell>
          <cell r="G10">
            <v>21773.329999999805</v>
          </cell>
          <cell r="H10">
            <v>-21</v>
          </cell>
          <cell r="I10">
            <v>21752.329999999805</v>
          </cell>
          <cell r="J10">
            <v>-24000</v>
          </cell>
          <cell r="K10">
            <v>-2247.6700000001947</v>
          </cell>
        </row>
        <row r="11">
          <cell r="A11">
            <v>80445</v>
          </cell>
          <cell r="B11" t="str">
            <v>St Elizabeth</v>
          </cell>
          <cell r="C11" t="str">
            <v>BBFW</v>
          </cell>
          <cell r="D11" t="str">
            <v>VN 08/09 CSV60 Sch Balances B/F</v>
          </cell>
          <cell r="E11">
            <v>103900</v>
          </cell>
          <cell r="F11">
            <v>68810.69</v>
          </cell>
          <cell r="G11">
            <v>35089.31</v>
          </cell>
          <cell r="H11">
            <v>28</v>
          </cell>
          <cell r="I11">
            <v>35117.31</v>
          </cell>
          <cell r="J11">
            <v>-40500</v>
          </cell>
          <cell r="K11">
            <v>-5382.6900000000023</v>
          </cell>
        </row>
        <row r="12">
          <cell r="A12">
            <v>80450</v>
          </cell>
          <cell r="B12" t="str">
            <v>Lansbury Lawrence</v>
          </cell>
          <cell r="C12" t="str">
            <v>BBFW</v>
          </cell>
          <cell r="D12" t="str">
            <v>VN 08/09 CSV60 Sch Balances B/F</v>
          </cell>
          <cell r="E12">
            <v>355600</v>
          </cell>
          <cell r="F12">
            <v>186629.6</v>
          </cell>
          <cell r="G12">
            <v>168970.4</v>
          </cell>
          <cell r="H12">
            <v>14</v>
          </cell>
          <cell r="I12">
            <v>168984.4</v>
          </cell>
          <cell r="J12">
            <v>-267000</v>
          </cell>
          <cell r="K12">
            <v>-98015.6</v>
          </cell>
        </row>
        <row r="13">
          <cell r="A13">
            <v>80455</v>
          </cell>
          <cell r="B13" t="str">
            <v>Malmesbury</v>
          </cell>
          <cell r="C13" t="str">
            <v>BBFW</v>
          </cell>
          <cell r="D13" t="str">
            <v>VN 08/09 CSV60 Sch Balances B/F</v>
          </cell>
          <cell r="E13">
            <v>264100</v>
          </cell>
          <cell r="F13">
            <v>270859.65999999997</v>
          </cell>
          <cell r="G13">
            <v>-6759.6599999999744</v>
          </cell>
          <cell r="H13">
            <v>11</v>
          </cell>
          <cell r="I13">
            <v>-6748.6599999999744</v>
          </cell>
          <cell r="J13">
            <v>-15000</v>
          </cell>
          <cell r="K13">
            <v>-21748.659999999974</v>
          </cell>
        </row>
        <row r="14">
          <cell r="A14">
            <v>80055</v>
          </cell>
          <cell r="B14" t="str">
            <v>Ben Jonson</v>
          </cell>
          <cell r="C14" t="str">
            <v>BBFW</v>
          </cell>
          <cell r="D14" t="str">
            <v>VN 08/09 CSV60 Sch Balances B/F</v>
          </cell>
          <cell r="E14">
            <v>294100</v>
          </cell>
          <cell r="F14">
            <v>258945.85</v>
          </cell>
          <cell r="G14">
            <v>35154.149999999994</v>
          </cell>
          <cell r="H14">
            <v>-34</v>
          </cell>
          <cell r="I14">
            <v>35120.149999999994</v>
          </cell>
          <cell r="J14">
            <v>-34960</v>
          </cell>
          <cell r="K14">
            <v>160.14999999999418</v>
          </cell>
        </row>
        <row r="15">
          <cell r="A15">
            <v>80075</v>
          </cell>
          <cell r="B15" t="str">
            <v>Bonner</v>
          </cell>
          <cell r="C15" t="str">
            <v>BBFW</v>
          </cell>
          <cell r="D15" t="str">
            <v>VN 08/09 CSV60 Sch Balances B/F</v>
          </cell>
          <cell r="E15">
            <v>80800</v>
          </cell>
          <cell r="F15">
            <v>54014.97</v>
          </cell>
          <cell r="G15">
            <v>26785.03</v>
          </cell>
          <cell r="H15">
            <v>-7</v>
          </cell>
          <cell r="I15">
            <v>26778.03</v>
          </cell>
          <cell r="J15">
            <v>-26783.3</v>
          </cell>
          <cell r="K15">
            <v>-5.2700000000004366</v>
          </cell>
        </row>
        <row r="16">
          <cell r="A16">
            <v>80245</v>
          </cell>
          <cell r="B16" t="str">
            <v>Old Palace</v>
          </cell>
          <cell r="C16" t="str">
            <v>BBFW</v>
          </cell>
          <cell r="D16" t="str">
            <v>VN 08/09 CSV60 Sch Balances B/F</v>
          </cell>
          <cell r="E16">
            <v>432500</v>
          </cell>
          <cell r="F16">
            <v>431587.52</v>
          </cell>
          <cell r="G16">
            <v>912.47999999998137</v>
          </cell>
          <cell r="H16">
            <v>50</v>
          </cell>
          <cell r="I16">
            <v>962.47999999998137</v>
          </cell>
          <cell r="J16">
            <v>0</v>
          </cell>
          <cell r="K16">
            <v>962.47999999998137</v>
          </cell>
        </row>
        <row r="17">
          <cell r="A17">
            <v>80085</v>
          </cell>
          <cell r="B17" t="str">
            <v>Canon Barnett</v>
          </cell>
          <cell r="C17" t="str">
            <v>BBFW</v>
          </cell>
          <cell r="D17" t="str">
            <v>VN 08/09 CSV60 Sch Balances B/F</v>
          </cell>
          <cell r="E17">
            <v>385800</v>
          </cell>
          <cell r="F17">
            <v>374057.62</v>
          </cell>
          <cell r="G17">
            <v>11742.380000000005</v>
          </cell>
          <cell r="H17">
            <v>-26</v>
          </cell>
          <cell r="I17">
            <v>11716.380000000005</v>
          </cell>
          <cell r="J17">
            <v>-6500</v>
          </cell>
          <cell r="K17">
            <v>5216.3800000000047</v>
          </cell>
        </row>
        <row r="18">
          <cell r="A18">
            <v>80090</v>
          </cell>
          <cell r="B18" t="str">
            <v>Cayley</v>
          </cell>
          <cell r="C18" t="str">
            <v>BBFW</v>
          </cell>
          <cell r="D18" t="str">
            <v>VN 08/09 CSV60 Sch Balances B/F</v>
          </cell>
          <cell r="E18">
            <v>50900</v>
          </cell>
          <cell r="F18">
            <v>120951.76</v>
          </cell>
          <cell r="G18">
            <v>-70051.759999999995</v>
          </cell>
          <cell r="H18">
            <v>24</v>
          </cell>
          <cell r="I18">
            <v>-70027.759999999995</v>
          </cell>
          <cell r="J18">
            <v>66617.259999999995</v>
          </cell>
          <cell r="K18">
            <v>-3410.5</v>
          </cell>
        </row>
        <row r="19">
          <cell r="A19">
            <v>80070</v>
          </cell>
          <cell r="B19" t="str">
            <v>Blue Gate Fields Junior</v>
          </cell>
          <cell r="C19" t="str">
            <v>BBFW</v>
          </cell>
          <cell r="D19" t="str">
            <v>VN 08/09 CSV60 Sch Balances B/F</v>
          </cell>
          <cell r="E19">
            <v>75400</v>
          </cell>
          <cell r="F19">
            <v>98988.14</v>
          </cell>
          <cell r="G19">
            <v>-23588.14</v>
          </cell>
          <cell r="H19">
            <v>10</v>
          </cell>
          <cell r="I19">
            <v>-23578.14</v>
          </cell>
          <cell r="J19">
            <v>0</v>
          </cell>
          <cell r="K19">
            <v>-23578.14</v>
          </cell>
        </row>
        <row r="20">
          <cell r="A20">
            <v>80095</v>
          </cell>
          <cell r="B20" t="str">
            <v>Chisenhale</v>
          </cell>
          <cell r="C20" t="str">
            <v>BBFW</v>
          </cell>
          <cell r="D20" t="str">
            <v>VN 08/09 CSV60 Sch Balances B/F</v>
          </cell>
          <cell r="E20">
            <v>169200</v>
          </cell>
          <cell r="F20">
            <v>168390.32</v>
          </cell>
          <cell r="G20">
            <v>809.67999999999302</v>
          </cell>
          <cell r="H20">
            <v>-8</v>
          </cell>
          <cell r="I20">
            <v>801.67999999999302</v>
          </cell>
          <cell r="J20">
            <v>-1063.9100000000001</v>
          </cell>
          <cell r="K20">
            <v>-262.23000000000707</v>
          </cell>
        </row>
        <row r="21">
          <cell r="A21">
            <v>80110</v>
          </cell>
          <cell r="B21" t="str">
            <v>Columbia</v>
          </cell>
          <cell r="C21" t="str">
            <v>BBFW</v>
          </cell>
          <cell r="D21" t="str">
            <v>VN 08/09 CSV60 Sch Balances B/F</v>
          </cell>
          <cell r="E21">
            <v>230600</v>
          </cell>
          <cell r="F21">
            <v>156151.57999999999</v>
          </cell>
          <cell r="G21">
            <v>74448.420000000013</v>
          </cell>
          <cell r="H21">
            <v>-26</v>
          </cell>
          <cell r="I21">
            <v>74422.420000000013</v>
          </cell>
          <cell r="J21">
            <v>-79145.94</v>
          </cell>
          <cell r="K21">
            <v>-4723.5199999999895</v>
          </cell>
        </row>
        <row r="22">
          <cell r="A22">
            <v>80120</v>
          </cell>
          <cell r="B22" t="str">
            <v>Cubitt Town Junior</v>
          </cell>
          <cell r="C22" t="str">
            <v>BBFW</v>
          </cell>
          <cell r="D22" t="str">
            <v>VN 08/09 CSV60 Sch Balances B/F</v>
          </cell>
          <cell r="E22">
            <v>366100</v>
          </cell>
          <cell r="F22">
            <v>420954.92</v>
          </cell>
          <cell r="G22">
            <v>-54854.919999999984</v>
          </cell>
          <cell r="H22">
            <v>-9</v>
          </cell>
          <cell r="I22">
            <v>-54863.919999999984</v>
          </cell>
          <cell r="J22">
            <v>6053.92</v>
          </cell>
          <cell r="K22">
            <v>-48809.999999999985</v>
          </cell>
        </row>
        <row r="23">
          <cell r="A23">
            <v>80125</v>
          </cell>
          <cell r="B23" t="str">
            <v>Culloden</v>
          </cell>
          <cell r="C23" t="str">
            <v>BBFW</v>
          </cell>
          <cell r="D23" t="str">
            <v>VN 08/09 CSV60 Sch Balances B/F</v>
          </cell>
          <cell r="E23">
            <v>424500</v>
          </cell>
          <cell r="F23">
            <v>225295.12</v>
          </cell>
          <cell r="G23">
            <v>199204.88</v>
          </cell>
          <cell r="H23">
            <v>14</v>
          </cell>
          <cell r="I23">
            <v>199218.88</v>
          </cell>
          <cell r="J23">
            <v>-190404</v>
          </cell>
          <cell r="K23">
            <v>8814.8800000000047</v>
          </cell>
        </row>
        <row r="24">
          <cell r="A24">
            <v>80130</v>
          </cell>
          <cell r="B24" t="str">
            <v>Cyril Jackson</v>
          </cell>
          <cell r="C24" t="str">
            <v>BBFW</v>
          </cell>
          <cell r="D24" t="str">
            <v>VN 08/09 CSV60 Sch Balances B/F</v>
          </cell>
          <cell r="E24">
            <v>794200</v>
          </cell>
          <cell r="F24">
            <v>682208.79</v>
          </cell>
          <cell r="G24">
            <v>111991.20999999996</v>
          </cell>
          <cell r="H24">
            <v>-28</v>
          </cell>
          <cell r="I24">
            <v>111963.20999999996</v>
          </cell>
          <cell r="J24">
            <v>-90016.36</v>
          </cell>
          <cell r="K24">
            <v>21946.849999999962</v>
          </cell>
        </row>
        <row r="25">
          <cell r="A25">
            <v>80105</v>
          </cell>
          <cell r="B25" t="str">
            <v>Clara Grant</v>
          </cell>
          <cell r="C25" t="str">
            <v>BBFW</v>
          </cell>
          <cell r="D25" t="str">
            <v>VN 08/09 CSV60 Sch Balances B/F</v>
          </cell>
          <cell r="E25">
            <v>460700</v>
          </cell>
          <cell r="F25">
            <v>461658.11</v>
          </cell>
          <cell r="G25">
            <v>-958.10999999998603</v>
          </cell>
          <cell r="H25">
            <v>29</v>
          </cell>
          <cell r="I25">
            <v>-929.10999999998603</v>
          </cell>
          <cell r="J25">
            <v>0</v>
          </cell>
          <cell r="K25">
            <v>-929.10999999998603</v>
          </cell>
        </row>
        <row r="26">
          <cell r="A26">
            <v>80145</v>
          </cell>
          <cell r="B26" t="str">
            <v>Globe</v>
          </cell>
          <cell r="C26" t="str">
            <v>BBFW</v>
          </cell>
          <cell r="D26" t="str">
            <v>VN 08/09 CSV60 Sch Balances B/F</v>
          </cell>
          <cell r="E26">
            <v>354700</v>
          </cell>
          <cell r="F26">
            <v>360308.92</v>
          </cell>
          <cell r="G26">
            <v>-5608.9199999999837</v>
          </cell>
          <cell r="H26">
            <v>-22</v>
          </cell>
          <cell r="I26">
            <v>-5630.9199999999837</v>
          </cell>
          <cell r="J26">
            <v>0</v>
          </cell>
          <cell r="K26">
            <v>-5630.9199999999837</v>
          </cell>
        </row>
        <row r="27">
          <cell r="A27">
            <v>80155</v>
          </cell>
          <cell r="B27" t="str">
            <v>Hague</v>
          </cell>
          <cell r="C27" t="str">
            <v>BBFW</v>
          </cell>
          <cell r="D27" t="str">
            <v>VN 08/09 CSV60 Sch Balances B/F</v>
          </cell>
          <cell r="E27">
            <v>253000</v>
          </cell>
          <cell r="F27">
            <v>253063.47</v>
          </cell>
          <cell r="G27">
            <v>-63.470000000001164</v>
          </cell>
          <cell r="H27">
            <v>34</v>
          </cell>
          <cell r="I27">
            <v>-29.470000000001164</v>
          </cell>
          <cell r="J27">
            <v>0</v>
          </cell>
          <cell r="K27">
            <v>-29.470000000001164</v>
          </cell>
        </row>
        <row r="28">
          <cell r="A28">
            <v>80165</v>
          </cell>
          <cell r="B28" t="str">
            <v>Harbinger</v>
          </cell>
          <cell r="C28" t="str">
            <v>BBFW</v>
          </cell>
          <cell r="D28" t="str">
            <v>VN 08/09 CSV60 Sch Balances B/F</v>
          </cell>
          <cell r="E28">
            <v>342400</v>
          </cell>
          <cell r="F28">
            <v>335986.11</v>
          </cell>
          <cell r="G28">
            <v>6413.890000000014</v>
          </cell>
          <cell r="H28">
            <v>-4</v>
          </cell>
          <cell r="I28">
            <v>6409.890000000014</v>
          </cell>
          <cell r="J28">
            <v>-5500</v>
          </cell>
          <cell r="K28">
            <v>909.89000000001397</v>
          </cell>
        </row>
        <row r="29">
          <cell r="A29">
            <v>80190</v>
          </cell>
          <cell r="B29" t="str">
            <v>John Scurr</v>
          </cell>
          <cell r="C29" t="str">
            <v>BBFW</v>
          </cell>
          <cell r="D29" t="str">
            <v>VN 08/09 CSV60 Sch Balances B/F</v>
          </cell>
          <cell r="E29">
            <v>239400</v>
          </cell>
          <cell r="F29">
            <v>238325.65</v>
          </cell>
          <cell r="G29">
            <v>1074.3500000000058</v>
          </cell>
          <cell r="H29">
            <v>31</v>
          </cell>
          <cell r="I29">
            <v>1105.3500000000058</v>
          </cell>
          <cell r="J29">
            <v>-1100</v>
          </cell>
          <cell r="K29">
            <v>5.3500000000058208</v>
          </cell>
        </row>
        <row r="30">
          <cell r="A30">
            <v>80195</v>
          </cell>
          <cell r="B30" t="str">
            <v>Lawdale</v>
          </cell>
          <cell r="C30" t="str">
            <v>BBFW</v>
          </cell>
          <cell r="D30" t="str">
            <v>VN 08/09 CSV60 Sch Balances B/F</v>
          </cell>
          <cell r="E30">
            <v>65500</v>
          </cell>
          <cell r="F30">
            <v>78274.100000000006</v>
          </cell>
          <cell r="G30">
            <v>-12774.100000000006</v>
          </cell>
          <cell r="H30">
            <v>-13</v>
          </cell>
          <cell r="I30">
            <v>-12787.100000000006</v>
          </cell>
          <cell r="J30">
            <v>-12587</v>
          </cell>
          <cell r="K30">
            <v>-25374.100000000006</v>
          </cell>
        </row>
        <row r="31">
          <cell r="A31">
            <v>80135</v>
          </cell>
          <cell r="B31" t="str">
            <v>Elizabeth Selby</v>
          </cell>
          <cell r="C31" t="str">
            <v>BBFW</v>
          </cell>
          <cell r="D31" t="str">
            <v>VN 08/09 CSV60 Sch Balances B/F</v>
          </cell>
          <cell r="E31">
            <v>174500</v>
          </cell>
          <cell r="F31">
            <v>140310.6</v>
          </cell>
          <cell r="G31">
            <v>34189.399999999994</v>
          </cell>
          <cell r="H31">
            <v>-28</v>
          </cell>
          <cell r="I31">
            <v>34161.399999999994</v>
          </cell>
          <cell r="J31">
            <v>-32000</v>
          </cell>
          <cell r="K31">
            <v>2161.3999999999942</v>
          </cell>
        </row>
        <row r="32">
          <cell r="A32">
            <v>80215</v>
          </cell>
          <cell r="B32" t="str">
            <v>Marion Richardson</v>
          </cell>
          <cell r="C32" t="str">
            <v>BBFW</v>
          </cell>
          <cell r="D32" t="str">
            <v>VN 08/09 CSV60 Sch Balances B/F</v>
          </cell>
          <cell r="E32">
            <v>178500</v>
          </cell>
          <cell r="F32">
            <v>-3398.4700000003259</v>
          </cell>
          <cell r="G32">
            <v>181898.47000000032</v>
          </cell>
          <cell r="H32">
            <v>-47</v>
          </cell>
          <cell r="I32">
            <v>181851.47000000032</v>
          </cell>
          <cell r="J32">
            <v>-181238.41</v>
          </cell>
          <cell r="K32">
            <v>613.06000000031781</v>
          </cell>
        </row>
        <row r="33">
          <cell r="A33">
            <v>80220</v>
          </cell>
          <cell r="B33" t="str">
            <v>Marner</v>
          </cell>
          <cell r="C33" t="str">
            <v>BBFW</v>
          </cell>
          <cell r="D33" t="str">
            <v>VN 08/09 CSV60 Sch Balances B/F</v>
          </cell>
          <cell r="E33">
            <v>445200</v>
          </cell>
          <cell r="F33">
            <v>372525.48</v>
          </cell>
          <cell r="G33">
            <v>72674.520000000019</v>
          </cell>
          <cell r="H33">
            <v>25</v>
          </cell>
          <cell r="I33">
            <v>72699.520000000019</v>
          </cell>
          <cell r="J33">
            <v>-69437.33</v>
          </cell>
          <cell r="K33">
            <v>3262.1900000000169</v>
          </cell>
        </row>
        <row r="34">
          <cell r="A34">
            <v>80225</v>
          </cell>
          <cell r="B34" t="str">
            <v>Mayflower</v>
          </cell>
          <cell r="C34" t="str">
            <v>BBFW</v>
          </cell>
          <cell r="D34" t="str">
            <v>VN 08/09 CSV60 Sch Balances B/F</v>
          </cell>
          <cell r="E34">
            <v>100800</v>
          </cell>
          <cell r="F34">
            <v>101080.77</v>
          </cell>
          <cell r="G34">
            <v>-280.77000000000407</v>
          </cell>
          <cell r="H34">
            <v>0</v>
          </cell>
          <cell r="I34">
            <v>-280.77000000000407</v>
          </cell>
          <cell r="J34">
            <v>0</v>
          </cell>
          <cell r="K34">
            <v>-280.77000000000407</v>
          </cell>
        </row>
        <row r="35">
          <cell r="A35">
            <v>80230</v>
          </cell>
          <cell r="B35" t="str">
            <v>Mowlem</v>
          </cell>
          <cell r="C35" t="str">
            <v>BBFW</v>
          </cell>
          <cell r="D35" t="str">
            <v>VN 08/09 CSV60 Sch Balances B/F</v>
          </cell>
          <cell r="E35">
            <v>70700</v>
          </cell>
          <cell r="F35">
            <v>86987.04</v>
          </cell>
          <cell r="G35">
            <v>-16287.039999999994</v>
          </cell>
          <cell r="H35">
            <v>47</v>
          </cell>
          <cell r="I35">
            <v>-16240.039999999994</v>
          </cell>
          <cell r="J35">
            <v>0</v>
          </cell>
          <cell r="K35">
            <v>-16240.039999999994</v>
          </cell>
        </row>
        <row r="36">
          <cell r="A36">
            <v>80065</v>
          </cell>
          <cell r="B36" t="str">
            <v>Blue Gate Fields Infants</v>
          </cell>
          <cell r="C36" t="str">
            <v>BBFW</v>
          </cell>
          <cell r="D36" t="str">
            <v>VN 08/09 CSV60 Sch Balances B/F</v>
          </cell>
          <cell r="E36">
            <v>556000</v>
          </cell>
          <cell r="F36">
            <v>551643.23</v>
          </cell>
          <cell r="G36">
            <v>4356.7700000000186</v>
          </cell>
          <cell r="H36">
            <v>26</v>
          </cell>
          <cell r="I36">
            <v>4382.7700000000186</v>
          </cell>
          <cell r="J36">
            <v>-3826.4</v>
          </cell>
          <cell r="K36">
            <v>556.37000000001854</v>
          </cell>
        </row>
        <row r="37">
          <cell r="A37">
            <v>80250</v>
          </cell>
          <cell r="B37" t="str">
            <v>Olga</v>
          </cell>
          <cell r="C37" t="str">
            <v>BBFW</v>
          </cell>
          <cell r="D37" t="str">
            <v>VN 08/09 CSV60 Sch Balances B/F</v>
          </cell>
          <cell r="E37">
            <v>197300</v>
          </cell>
          <cell r="F37">
            <v>69012.7</v>
          </cell>
          <cell r="G37">
            <v>128287.3</v>
          </cell>
          <cell r="H37">
            <v>36</v>
          </cell>
          <cell r="I37">
            <v>128323.3</v>
          </cell>
          <cell r="J37">
            <v>-128373.04</v>
          </cell>
          <cell r="K37">
            <v>-49.739999999990687</v>
          </cell>
        </row>
        <row r="38">
          <cell r="A38">
            <v>80270</v>
          </cell>
          <cell r="B38" t="str">
            <v>Redlands</v>
          </cell>
          <cell r="C38" t="str">
            <v>BBFW</v>
          </cell>
          <cell r="D38" t="str">
            <v>VN 08/09 CSV60 Sch Balances B/F</v>
          </cell>
          <cell r="E38">
            <v>476600</v>
          </cell>
          <cell r="F38">
            <v>446324.57</v>
          </cell>
          <cell r="G38">
            <v>30275.429999999993</v>
          </cell>
          <cell r="H38">
            <v>-18</v>
          </cell>
          <cell r="I38">
            <v>30257.429999999993</v>
          </cell>
          <cell r="J38">
            <v>-38405.279999999999</v>
          </cell>
          <cell r="K38">
            <v>-8147.8500000000058</v>
          </cell>
        </row>
        <row r="39">
          <cell r="A39">
            <v>80400</v>
          </cell>
          <cell r="B39" t="str">
            <v>Thomas Buxton Junior</v>
          </cell>
          <cell r="C39" t="str">
            <v>BBFW</v>
          </cell>
          <cell r="D39" t="str">
            <v>VN 08/09 CSV60 Sch Balances B/F</v>
          </cell>
          <cell r="E39">
            <v>330100</v>
          </cell>
          <cell r="F39">
            <v>262982.08</v>
          </cell>
          <cell r="G39">
            <v>67117.919999999984</v>
          </cell>
          <cell r="H39">
            <v>18</v>
          </cell>
          <cell r="I39">
            <v>67135.919999999984</v>
          </cell>
          <cell r="J39">
            <v>-66938.320000000007</v>
          </cell>
          <cell r="K39">
            <v>197.59999999997672</v>
          </cell>
        </row>
        <row r="40">
          <cell r="A40">
            <v>80210</v>
          </cell>
          <cell r="B40" t="str">
            <v>Manorfield</v>
          </cell>
          <cell r="C40" t="str">
            <v>BBFW</v>
          </cell>
          <cell r="D40" t="str">
            <v>VN 08/09 CSV60 Sch Balances B/F</v>
          </cell>
          <cell r="E40">
            <v>176300</v>
          </cell>
          <cell r="F40">
            <v>150409.37</v>
          </cell>
          <cell r="G40">
            <v>25890.630000000005</v>
          </cell>
          <cell r="H40">
            <v>-18</v>
          </cell>
          <cell r="I40">
            <v>25872.630000000005</v>
          </cell>
          <cell r="J40">
            <v>-25987.93</v>
          </cell>
          <cell r="K40">
            <v>-115.29999999999563</v>
          </cell>
        </row>
        <row r="41">
          <cell r="A41">
            <v>80360</v>
          </cell>
          <cell r="B41" t="str">
            <v>Sir William Burrough</v>
          </cell>
          <cell r="C41" t="str">
            <v>BBFW</v>
          </cell>
          <cell r="D41" t="str">
            <v>VN 08/09 CSV60 Sch Balances B/F</v>
          </cell>
          <cell r="E41">
            <v>22300</v>
          </cell>
          <cell r="F41">
            <v>4418.6000000000004</v>
          </cell>
          <cell r="G41">
            <v>17881.400000000001</v>
          </cell>
          <cell r="H41">
            <v>-12</v>
          </cell>
          <cell r="I41">
            <v>17869.400000000001</v>
          </cell>
          <cell r="J41">
            <v>-15095.95</v>
          </cell>
          <cell r="K41">
            <v>2773.4500000000007</v>
          </cell>
        </row>
        <row r="42">
          <cell r="A42">
            <v>80370</v>
          </cell>
          <cell r="B42" t="str">
            <v>Stebon</v>
          </cell>
          <cell r="C42" t="str">
            <v>BBFW</v>
          </cell>
          <cell r="D42" t="str">
            <v>VN 08/09 CSV60 Sch Balances B/F</v>
          </cell>
          <cell r="E42">
            <v>232100</v>
          </cell>
          <cell r="F42">
            <v>231928.48</v>
          </cell>
          <cell r="G42">
            <v>171.51999999998952</v>
          </cell>
          <cell r="H42">
            <v>13</v>
          </cell>
          <cell r="I42">
            <v>184.51999999998952</v>
          </cell>
          <cell r="J42">
            <v>0</v>
          </cell>
          <cell r="K42">
            <v>184.51999999998952</v>
          </cell>
        </row>
        <row r="43">
          <cell r="A43">
            <v>80380</v>
          </cell>
          <cell r="B43" t="str">
            <v>Stewart Headlam</v>
          </cell>
          <cell r="C43" t="str">
            <v>BBFW</v>
          </cell>
          <cell r="D43" t="str">
            <v>VN 08/09 CSV60 Sch Balances B/F</v>
          </cell>
          <cell r="E43">
            <v>248900</v>
          </cell>
          <cell r="F43">
            <v>225330.51</v>
          </cell>
          <cell r="G43">
            <v>23569.489999999991</v>
          </cell>
          <cell r="H43">
            <v>-16</v>
          </cell>
          <cell r="I43">
            <v>23553.489999999991</v>
          </cell>
          <cell r="J43">
            <v>-23082.35</v>
          </cell>
          <cell r="K43">
            <v>471.13999999999214</v>
          </cell>
        </row>
        <row r="44">
          <cell r="A44">
            <v>80405</v>
          </cell>
          <cell r="B44" t="str">
            <v>Virginia</v>
          </cell>
          <cell r="C44" t="str">
            <v>BBFW</v>
          </cell>
          <cell r="D44" t="str">
            <v>VN 08/09 CSV60 Sch Balances B/F</v>
          </cell>
          <cell r="E44">
            <v>227500</v>
          </cell>
          <cell r="F44">
            <v>222234.59</v>
          </cell>
          <cell r="G44">
            <v>5265.4100000000035</v>
          </cell>
          <cell r="H44">
            <v>12</v>
          </cell>
          <cell r="I44">
            <v>5277.4100000000035</v>
          </cell>
          <cell r="J44">
            <v>-4915.2</v>
          </cell>
          <cell r="K44">
            <v>362.21000000000367</v>
          </cell>
        </row>
        <row r="45">
          <cell r="A45">
            <v>80410</v>
          </cell>
          <cell r="B45" t="str">
            <v>Wellington</v>
          </cell>
          <cell r="C45" t="str">
            <v>BBFW</v>
          </cell>
          <cell r="D45" t="str">
            <v>VN 08/09 CSV60 Sch Balances B/F</v>
          </cell>
          <cell r="E45">
            <v>310900</v>
          </cell>
          <cell r="F45">
            <v>301106.52</v>
          </cell>
          <cell r="G45">
            <v>9793.4799999999814</v>
          </cell>
          <cell r="H45">
            <v>49</v>
          </cell>
          <cell r="I45">
            <v>9842.4799999999814</v>
          </cell>
          <cell r="J45">
            <v>-10000</v>
          </cell>
          <cell r="K45">
            <v>-157.52000000001863</v>
          </cell>
        </row>
        <row r="46">
          <cell r="A46">
            <v>80420</v>
          </cell>
          <cell r="B46" t="str">
            <v>Woolmore</v>
          </cell>
          <cell r="C46" t="str">
            <v>BBFW</v>
          </cell>
          <cell r="D46" t="str">
            <v>VN 08/09 CSV60 Sch Balances B/F</v>
          </cell>
          <cell r="E46">
            <v>110500</v>
          </cell>
          <cell r="F46">
            <v>104662.76</v>
          </cell>
          <cell r="G46">
            <v>5837.2400000000052</v>
          </cell>
          <cell r="H46">
            <v>46</v>
          </cell>
          <cell r="I46">
            <v>5883.2400000000052</v>
          </cell>
          <cell r="J46">
            <v>-5500</v>
          </cell>
          <cell r="K46">
            <v>383.24000000000524</v>
          </cell>
        </row>
        <row r="47">
          <cell r="A47">
            <v>80395</v>
          </cell>
          <cell r="B47" t="str">
            <v>Thomas Buxton Infants</v>
          </cell>
          <cell r="C47" t="str">
            <v>BBFW</v>
          </cell>
          <cell r="D47" t="str">
            <v>VN 08/09 CSV60 Sch Balances B/F</v>
          </cell>
          <cell r="E47">
            <v>176100</v>
          </cell>
          <cell r="F47">
            <v>109994.82</v>
          </cell>
          <cell r="G47">
            <v>66105.179999999993</v>
          </cell>
          <cell r="H47">
            <v>-45</v>
          </cell>
          <cell r="I47">
            <v>66060.179999999993</v>
          </cell>
          <cell r="J47">
            <v>-66713.41</v>
          </cell>
          <cell r="K47">
            <v>-653.23000000001048</v>
          </cell>
        </row>
        <row r="48">
          <cell r="A48">
            <v>80350</v>
          </cell>
          <cell r="B48" t="str">
            <v>Seven Mills</v>
          </cell>
          <cell r="C48" t="str">
            <v>BBFW</v>
          </cell>
          <cell r="D48" t="str">
            <v>VN 08/09 CSV60 Sch Balances B/F</v>
          </cell>
          <cell r="E48">
            <v>159700</v>
          </cell>
          <cell r="F48">
            <v>152373.79999999999</v>
          </cell>
          <cell r="G48">
            <v>7326.2000000000116</v>
          </cell>
          <cell r="H48">
            <v>-4</v>
          </cell>
          <cell r="I48">
            <v>7322.2000000000116</v>
          </cell>
          <cell r="J48">
            <v>-7500</v>
          </cell>
          <cell r="K48">
            <v>-177.79999999998836</v>
          </cell>
        </row>
        <row r="49">
          <cell r="A49">
            <v>80115</v>
          </cell>
          <cell r="B49" t="str">
            <v>Cubitt Town Infants</v>
          </cell>
          <cell r="C49" t="str">
            <v>BBFW</v>
          </cell>
          <cell r="D49" t="str">
            <v>VN 08/09 CSV60 Sch Balances B/F</v>
          </cell>
          <cell r="E49">
            <v>253200</v>
          </cell>
          <cell r="F49">
            <v>147682.53</v>
          </cell>
          <cell r="G49">
            <v>105517.47</v>
          </cell>
          <cell r="H49">
            <v>46</v>
          </cell>
          <cell r="I49">
            <v>105563.47</v>
          </cell>
          <cell r="J49">
            <v>-105418.25</v>
          </cell>
          <cell r="K49">
            <v>145.22000000000116</v>
          </cell>
        </row>
        <row r="50">
          <cell r="A50">
            <v>80255</v>
          </cell>
          <cell r="B50" t="str">
            <v>Osmani</v>
          </cell>
          <cell r="C50" t="str">
            <v>BBFW</v>
          </cell>
          <cell r="D50" t="str">
            <v>VN 08/09 CSV60 Sch Balances B/F</v>
          </cell>
          <cell r="E50">
            <v>305500</v>
          </cell>
          <cell r="F50">
            <v>258587.58</v>
          </cell>
          <cell r="G50">
            <v>46912.420000000013</v>
          </cell>
          <cell r="H50">
            <v>-29</v>
          </cell>
          <cell r="I50">
            <v>46883.420000000013</v>
          </cell>
          <cell r="J50">
            <v>-50300</v>
          </cell>
          <cell r="K50">
            <v>-3416.5799999999872</v>
          </cell>
        </row>
        <row r="51">
          <cell r="A51">
            <v>80355</v>
          </cell>
          <cell r="B51" t="str">
            <v>Shapla</v>
          </cell>
          <cell r="C51" t="str">
            <v>BBFW</v>
          </cell>
          <cell r="D51" t="str">
            <v>VN 08/09 CSV60 Sch Balances B/F</v>
          </cell>
          <cell r="E51">
            <v>55300</v>
          </cell>
          <cell r="F51">
            <v>118231.34</v>
          </cell>
          <cell r="G51">
            <v>-62931.34</v>
          </cell>
          <cell r="H51">
            <v>3</v>
          </cell>
          <cell r="I51">
            <v>-62928.34</v>
          </cell>
          <cell r="J51">
            <v>0</v>
          </cell>
          <cell r="K51">
            <v>-62928.34</v>
          </cell>
        </row>
        <row r="52">
          <cell r="A52">
            <v>80180</v>
          </cell>
          <cell r="B52" t="str">
            <v>Hermitage</v>
          </cell>
          <cell r="C52" t="str">
            <v>BBFW</v>
          </cell>
          <cell r="D52" t="str">
            <v>VN 08/09 CSV60 Sch Balances B/F</v>
          </cell>
          <cell r="E52">
            <v>377600</v>
          </cell>
          <cell r="F52">
            <v>376620.6</v>
          </cell>
          <cell r="G52">
            <v>979.40000000002328</v>
          </cell>
          <cell r="H52">
            <v>-3</v>
          </cell>
          <cell r="I52">
            <v>976.40000000002328</v>
          </cell>
          <cell r="J52">
            <v>0</v>
          </cell>
          <cell r="K52">
            <v>976.40000000002328</v>
          </cell>
        </row>
        <row r="53">
          <cell r="A53">
            <v>80050</v>
          </cell>
          <cell r="B53" t="str">
            <v>Bangabandhu</v>
          </cell>
          <cell r="C53" t="str">
            <v>BBFW</v>
          </cell>
          <cell r="D53" t="str">
            <v>VN 08/09 CSV60 Sch Balances B/F</v>
          </cell>
          <cell r="E53">
            <v>206700</v>
          </cell>
          <cell r="F53">
            <v>195454.73</v>
          </cell>
          <cell r="G53">
            <v>11245.26999999999</v>
          </cell>
          <cell r="H53">
            <v>-35</v>
          </cell>
          <cell r="I53">
            <v>11210.26999999999</v>
          </cell>
          <cell r="J53">
            <v>-11000</v>
          </cell>
          <cell r="K53">
            <v>210.26999999998952</v>
          </cell>
        </row>
        <row r="54">
          <cell r="A54">
            <v>80160</v>
          </cell>
          <cell r="B54" t="str">
            <v>Halley</v>
          </cell>
          <cell r="C54" t="str">
            <v>BBFW</v>
          </cell>
          <cell r="D54" t="str">
            <v>VN 08/09 CSV60 Sch Balances B/F</v>
          </cell>
          <cell r="E54">
            <v>176800</v>
          </cell>
          <cell r="F54">
            <v>171493.54</v>
          </cell>
          <cell r="G54">
            <v>5306.4599999999919</v>
          </cell>
          <cell r="H54">
            <v>-3</v>
          </cell>
          <cell r="I54">
            <v>5303.4599999999919</v>
          </cell>
          <cell r="J54">
            <v>-6000</v>
          </cell>
          <cell r="K54">
            <v>-696.54000000000815</v>
          </cell>
        </row>
        <row r="55">
          <cell r="A55">
            <v>80060</v>
          </cell>
          <cell r="B55" t="str">
            <v>Bigland Green</v>
          </cell>
          <cell r="C55" t="str">
            <v>BBFW</v>
          </cell>
          <cell r="D55" t="str">
            <v>VN 08/09 CSV60 Sch Balances B/F</v>
          </cell>
          <cell r="E55">
            <v>187500</v>
          </cell>
          <cell r="F55">
            <v>172114.62</v>
          </cell>
          <cell r="G55">
            <v>15385.380000000005</v>
          </cell>
          <cell r="H55">
            <v>48</v>
          </cell>
          <cell r="I55">
            <v>15433.380000000005</v>
          </cell>
          <cell r="J55">
            <v>24318.49</v>
          </cell>
          <cell r="K55">
            <v>39751.87000000001</v>
          </cell>
        </row>
        <row r="56">
          <cell r="A56">
            <v>80345</v>
          </cell>
          <cell r="B56" t="str">
            <v>Kobi Nazrul</v>
          </cell>
          <cell r="C56" t="str">
            <v>BBFW</v>
          </cell>
          <cell r="D56" t="str">
            <v>VN 08/09 CSV60 Sch Balances B/F</v>
          </cell>
          <cell r="E56">
            <v>373400</v>
          </cell>
          <cell r="F56">
            <v>308071.42</v>
          </cell>
          <cell r="G56">
            <v>65328.580000000016</v>
          </cell>
          <cell r="H56">
            <v>-33</v>
          </cell>
          <cell r="I56">
            <v>65295.580000000016</v>
          </cell>
          <cell r="J56">
            <v>-63350</v>
          </cell>
          <cell r="K56">
            <v>1945.5800000000163</v>
          </cell>
        </row>
        <row r="57">
          <cell r="A57">
            <v>80365</v>
          </cell>
          <cell r="B57" t="str">
            <v>Smithy Street</v>
          </cell>
          <cell r="C57" t="str">
            <v>BBFW</v>
          </cell>
          <cell r="D57" t="str">
            <v>VN 08/09 CSV60 Sch Balances B/F</v>
          </cell>
          <cell r="E57">
            <v>29400</v>
          </cell>
          <cell r="F57">
            <v>52626.720000000001</v>
          </cell>
          <cell r="G57">
            <v>-23226.720000000001</v>
          </cell>
          <cell r="H57">
            <v>9</v>
          </cell>
          <cell r="I57">
            <v>-23217.72</v>
          </cell>
          <cell r="J57">
            <v>6544.07</v>
          </cell>
          <cell r="K57">
            <v>-16673.650000000001</v>
          </cell>
        </row>
        <row r="58">
          <cell r="A58">
            <v>80080</v>
          </cell>
          <cell r="B58" t="str">
            <v>Bygrove</v>
          </cell>
          <cell r="C58" t="str">
            <v>BBFW</v>
          </cell>
          <cell r="D58" t="str">
            <v>VN 08/09 CSV60 Sch Balances B/F</v>
          </cell>
          <cell r="E58">
            <v>63900</v>
          </cell>
          <cell r="F58">
            <v>75820.39</v>
          </cell>
          <cell r="G58">
            <v>-11920.39</v>
          </cell>
          <cell r="H58">
            <v>32</v>
          </cell>
          <cell r="I58">
            <v>-11888.39</v>
          </cell>
          <cell r="J58">
            <v>11069</v>
          </cell>
          <cell r="K58">
            <v>-819.38999999999942</v>
          </cell>
        </row>
        <row r="59">
          <cell r="A59">
            <v>80415</v>
          </cell>
          <cell r="B59" t="str">
            <v>William Davis</v>
          </cell>
          <cell r="C59" t="str">
            <v>BBFW</v>
          </cell>
          <cell r="D59" t="str">
            <v>VN 08/09 CSV60 Sch Balances B/F</v>
          </cell>
          <cell r="E59">
            <v>223000</v>
          </cell>
          <cell r="F59">
            <v>224280.6</v>
          </cell>
          <cell r="G59">
            <v>-1280.6000000000058</v>
          </cell>
          <cell r="H59">
            <v>25</v>
          </cell>
          <cell r="I59">
            <v>-1255.6000000000058</v>
          </cell>
          <cell r="J59">
            <v>0</v>
          </cell>
          <cell r="K59">
            <v>-1255.6000000000058</v>
          </cell>
        </row>
        <row r="60">
          <cell r="A60">
            <v>80425</v>
          </cell>
          <cell r="B60" t="str">
            <v>Arnhem Wharf</v>
          </cell>
          <cell r="C60" t="str">
            <v>BBFW</v>
          </cell>
          <cell r="D60" t="str">
            <v>VN 08/09 CSV60 Sch Balances B/F</v>
          </cell>
          <cell r="E60">
            <v>408300</v>
          </cell>
          <cell r="F60">
            <v>390978.85</v>
          </cell>
          <cell r="G60">
            <v>17321.150000000023</v>
          </cell>
          <cell r="H60">
            <v>-39</v>
          </cell>
          <cell r="I60">
            <v>17282.150000000023</v>
          </cell>
          <cell r="J60">
            <v>-17323.2</v>
          </cell>
          <cell r="K60">
            <v>-41.049999999977445</v>
          </cell>
        </row>
        <row r="61">
          <cell r="A61">
            <v>80430</v>
          </cell>
          <cell r="B61" t="str">
            <v>Harry Gosling</v>
          </cell>
          <cell r="C61" t="str">
            <v>BBFW</v>
          </cell>
          <cell r="D61" t="str">
            <v>VN 08/09 CSV60 Sch Balances B/F</v>
          </cell>
          <cell r="E61">
            <v>192100</v>
          </cell>
          <cell r="F61">
            <v>195626.98</v>
          </cell>
          <cell r="G61">
            <v>-3526.9800000000105</v>
          </cell>
          <cell r="H61">
            <v>7</v>
          </cell>
          <cell r="I61">
            <v>-3519.9800000000105</v>
          </cell>
          <cell r="J61">
            <v>0</v>
          </cell>
          <cell r="K61">
            <v>-3519.9800000000105</v>
          </cell>
        </row>
        <row r="62">
          <cell r="A62">
            <v>80100</v>
          </cell>
          <cell r="B62" t="str">
            <v>Christchurch</v>
          </cell>
          <cell r="C62" t="str">
            <v>BBFW</v>
          </cell>
          <cell r="D62" t="str">
            <v>VN 08/09 CSV60 Sch Balances B/F</v>
          </cell>
          <cell r="E62">
            <v>102200</v>
          </cell>
          <cell r="F62">
            <v>99809.09</v>
          </cell>
          <cell r="G62">
            <v>2390.9100000000035</v>
          </cell>
          <cell r="H62">
            <v>23</v>
          </cell>
          <cell r="I62">
            <v>2413.9100000000035</v>
          </cell>
          <cell r="J62">
            <v>0</v>
          </cell>
          <cell r="K62">
            <v>2413.9100000000035</v>
          </cell>
        </row>
        <row r="63">
          <cell r="A63">
            <v>80150</v>
          </cell>
          <cell r="B63" t="str">
            <v>Guardian Angels</v>
          </cell>
          <cell r="C63" t="str">
            <v>BBFW</v>
          </cell>
          <cell r="D63" t="str">
            <v>VN 08/09 CSV60 Sch Balances B/F</v>
          </cell>
          <cell r="E63">
            <v>116000</v>
          </cell>
          <cell r="F63">
            <v>116008.93</v>
          </cell>
          <cell r="G63">
            <v>-8.9299999999930151</v>
          </cell>
          <cell r="H63">
            <v>-42</v>
          </cell>
          <cell r="I63">
            <v>-50.929999999993015</v>
          </cell>
          <cell r="J63">
            <v>0</v>
          </cell>
          <cell r="K63">
            <v>-50.929999999993015</v>
          </cell>
        </row>
        <row r="64">
          <cell r="A64">
            <v>80375</v>
          </cell>
          <cell r="B64" t="str">
            <v>Stepney Greencoat</v>
          </cell>
          <cell r="C64" t="str">
            <v>BBFW</v>
          </cell>
          <cell r="D64" t="str">
            <v>VN 08/09 CSV60 Sch Balances B/F</v>
          </cell>
          <cell r="E64">
            <v>111400</v>
          </cell>
          <cell r="F64">
            <v>92079.59</v>
          </cell>
          <cell r="G64">
            <v>19320.410000000003</v>
          </cell>
          <cell r="H64">
            <v>17</v>
          </cell>
          <cell r="I64">
            <v>19337.410000000003</v>
          </cell>
          <cell r="J64">
            <v>-19186</v>
          </cell>
          <cell r="K64">
            <v>151.41000000000349</v>
          </cell>
        </row>
        <row r="65">
          <cell r="A65">
            <v>80260</v>
          </cell>
          <cell r="B65" t="str">
            <v>Our Lady</v>
          </cell>
          <cell r="C65" t="str">
            <v>BBFW</v>
          </cell>
          <cell r="D65" t="str">
            <v>VN 08/09 CSV60 Sch Balances B/F</v>
          </cell>
          <cell r="E65">
            <v>32000</v>
          </cell>
          <cell r="F65">
            <v>33728.32</v>
          </cell>
          <cell r="G65">
            <v>-1728.3199999999997</v>
          </cell>
          <cell r="H65">
            <v>-47</v>
          </cell>
          <cell r="I65">
            <v>-1775.3199999999997</v>
          </cell>
          <cell r="J65">
            <v>0</v>
          </cell>
          <cell r="K65">
            <v>-1775.3199999999997</v>
          </cell>
        </row>
        <row r="66">
          <cell r="A66">
            <v>80275</v>
          </cell>
          <cell r="B66" t="str">
            <v>St Agnes</v>
          </cell>
          <cell r="C66" t="str">
            <v>BBFW</v>
          </cell>
          <cell r="D66" t="str">
            <v>VN 08/09 CSV60 Sch Balances B/F</v>
          </cell>
          <cell r="E66">
            <v>196100</v>
          </cell>
          <cell r="F66">
            <v>160590.72</v>
          </cell>
          <cell r="G66">
            <v>35509.279999999999</v>
          </cell>
          <cell r="H66">
            <v>2</v>
          </cell>
          <cell r="I66">
            <v>35511.279999999999</v>
          </cell>
          <cell r="J66">
            <v>-34489.839999999997</v>
          </cell>
          <cell r="K66">
            <v>1021.4400000000023</v>
          </cell>
        </row>
        <row r="67">
          <cell r="A67">
            <v>80280</v>
          </cell>
          <cell r="B67" t="str">
            <v>St Anne</v>
          </cell>
          <cell r="C67" t="str">
            <v>BBFW</v>
          </cell>
          <cell r="D67" t="str">
            <v>VN 08/09 CSV60 Sch Balances B/F</v>
          </cell>
          <cell r="E67">
            <v>116800</v>
          </cell>
          <cell r="F67">
            <v>133060.20000000001</v>
          </cell>
          <cell r="G67">
            <v>-16260.200000000012</v>
          </cell>
          <cell r="H67">
            <v>36</v>
          </cell>
          <cell r="I67">
            <v>-16224.200000000012</v>
          </cell>
          <cell r="J67">
            <v>-232</v>
          </cell>
          <cell r="K67">
            <v>-16456.200000000012</v>
          </cell>
        </row>
        <row r="68">
          <cell r="A68">
            <v>80285</v>
          </cell>
          <cell r="B68" t="str">
            <v>St Edmund</v>
          </cell>
          <cell r="C68" t="str">
            <v>BBFW</v>
          </cell>
          <cell r="D68" t="str">
            <v>VN 08/09 CSV60 Sch Balances B/F</v>
          </cell>
          <cell r="E68">
            <v>77600</v>
          </cell>
          <cell r="F68">
            <v>82000.259999999995</v>
          </cell>
          <cell r="G68">
            <v>-4400.2599999999948</v>
          </cell>
          <cell r="H68">
            <v>-14</v>
          </cell>
          <cell r="I68">
            <v>-4414.2599999999948</v>
          </cell>
          <cell r="J68">
            <v>0</v>
          </cell>
          <cell r="K68">
            <v>-4414.2599999999948</v>
          </cell>
        </row>
        <row r="69">
          <cell r="A69">
            <v>80295</v>
          </cell>
          <cell r="B69" t="str">
            <v>St Johns</v>
          </cell>
          <cell r="C69" t="str">
            <v>BBFW</v>
          </cell>
          <cell r="D69" t="str">
            <v>VN 08/09 CSV60 Sch Balances B/F</v>
          </cell>
          <cell r="E69">
            <v>263300</v>
          </cell>
          <cell r="F69">
            <v>244387.72</v>
          </cell>
          <cell r="G69">
            <v>18912.28</v>
          </cell>
          <cell r="H69">
            <v>16</v>
          </cell>
          <cell r="I69">
            <v>18928.28</v>
          </cell>
          <cell r="J69">
            <v>-18550</v>
          </cell>
          <cell r="K69">
            <v>378.27999999999884</v>
          </cell>
        </row>
        <row r="70">
          <cell r="A70">
            <v>80300</v>
          </cell>
          <cell r="B70" t="str">
            <v>St Lukes</v>
          </cell>
          <cell r="C70" t="str">
            <v>BBFW</v>
          </cell>
          <cell r="D70" t="str">
            <v>VN 08/09 CSV60 Sch Balances B/F</v>
          </cell>
          <cell r="E70">
            <v>198800</v>
          </cell>
          <cell r="F70">
            <v>70955.960000000006</v>
          </cell>
          <cell r="G70">
            <v>127844.04</v>
          </cell>
          <cell r="H70">
            <v>46</v>
          </cell>
          <cell r="I70">
            <v>127890.04</v>
          </cell>
          <cell r="J70">
            <v>-27750.09</v>
          </cell>
          <cell r="K70">
            <v>100139.95</v>
          </cell>
        </row>
        <row r="71">
          <cell r="A71">
            <v>80315</v>
          </cell>
          <cell r="B71" t="str">
            <v>St Matthias</v>
          </cell>
          <cell r="C71" t="str">
            <v>BBFW</v>
          </cell>
          <cell r="D71" t="str">
            <v>VN 08/09 CSV60 Sch Balances B/F</v>
          </cell>
          <cell r="E71">
            <v>2800</v>
          </cell>
          <cell r="F71">
            <v>619.54</v>
          </cell>
          <cell r="G71">
            <v>2180.46</v>
          </cell>
          <cell r="H71">
            <v>-37</v>
          </cell>
          <cell r="I71">
            <v>2143.46</v>
          </cell>
          <cell r="J71">
            <v>0</v>
          </cell>
          <cell r="K71">
            <v>2143.46</v>
          </cell>
        </row>
        <row r="72">
          <cell r="A72">
            <v>80330</v>
          </cell>
          <cell r="B72" t="str">
            <v>St Paul with St Luke</v>
          </cell>
          <cell r="C72" t="str">
            <v>BBFW</v>
          </cell>
          <cell r="D72" t="str">
            <v>VN 08/09 CSV60 Sch Balances B/F</v>
          </cell>
          <cell r="E72">
            <v>134500</v>
          </cell>
          <cell r="F72">
            <v>111415.64</v>
          </cell>
          <cell r="G72">
            <v>23084.36</v>
          </cell>
          <cell r="H72">
            <v>20</v>
          </cell>
          <cell r="I72">
            <v>23104.36</v>
          </cell>
          <cell r="J72">
            <v>-22959.759999999998</v>
          </cell>
          <cell r="K72">
            <v>144.60000000000218</v>
          </cell>
        </row>
        <row r="73">
          <cell r="A73">
            <v>80325</v>
          </cell>
          <cell r="B73" t="str">
            <v>St Pauls Whitechapel</v>
          </cell>
          <cell r="C73" t="str">
            <v>BBFW</v>
          </cell>
          <cell r="D73" t="str">
            <v>VN 08/09 CSV60 Sch Balances B/F</v>
          </cell>
          <cell r="E73">
            <v>47800</v>
          </cell>
          <cell r="F73">
            <v>47784.18</v>
          </cell>
          <cell r="G73">
            <v>15.819999999999709</v>
          </cell>
          <cell r="H73">
            <v>17</v>
          </cell>
          <cell r="I73">
            <v>32.819999999999709</v>
          </cell>
          <cell r="J73">
            <v>0</v>
          </cell>
          <cell r="K73">
            <v>32.819999999999709</v>
          </cell>
        </row>
        <row r="74">
          <cell r="A74">
            <v>80335</v>
          </cell>
          <cell r="B74" t="str">
            <v>St Peters</v>
          </cell>
          <cell r="C74" t="str">
            <v>BBFW</v>
          </cell>
          <cell r="D74" t="str">
            <v>VN 08/09 CSV60 Sch Balances B/F</v>
          </cell>
          <cell r="E74">
            <v>59600</v>
          </cell>
          <cell r="F74">
            <v>51006.36</v>
          </cell>
          <cell r="G74">
            <v>8593.64</v>
          </cell>
          <cell r="H74">
            <v>15</v>
          </cell>
          <cell r="I74">
            <v>8608.64</v>
          </cell>
          <cell r="J74">
            <v>-8849.35</v>
          </cell>
          <cell r="K74">
            <v>-240.71000000000095</v>
          </cell>
        </row>
        <row r="75">
          <cell r="A75">
            <v>80340</v>
          </cell>
          <cell r="B75" t="str">
            <v>St Saviours</v>
          </cell>
          <cell r="C75" t="str">
            <v>BBFW</v>
          </cell>
          <cell r="D75" t="str">
            <v>VN 08/09 CSV60 Sch Balances B/F</v>
          </cell>
          <cell r="E75">
            <v>62000</v>
          </cell>
          <cell r="F75">
            <v>55881.780000000057</v>
          </cell>
          <cell r="G75">
            <v>6118.219999999943</v>
          </cell>
          <cell r="H75">
            <v>23</v>
          </cell>
          <cell r="I75">
            <v>6141.219999999943</v>
          </cell>
          <cell r="J75">
            <v>0</v>
          </cell>
          <cell r="K75">
            <v>6141.219999999943</v>
          </cell>
        </row>
        <row r="76">
          <cell r="A76">
            <v>80140</v>
          </cell>
          <cell r="B76" t="str">
            <v>English Martyrs</v>
          </cell>
          <cell r="C76" t="str">
            <v>BBFW</v>
          </cell>
          <cell r="D76" t="str">
            <v>VN 08/09 CSV60 Sch Balances B/F</v>
          </cell>
          <cell r="E76">
            <v>82000</v>
          </cell>
          <cell r="F76">
            <v>48138.57</v>
          </cell>
          <cell r="G76">
            <v>33861.43</v>
          </cell>
          <cell r="H76">
            <v>10</v>
          </cell>
          <cell r="I76">
            <v>33871.43</v>
          </cell>
          <cell r="J76">
            <v>-34200</v>
          </cell>
          <cell r="K76">
            <v>-328.56999999999971</v>
          </cell>
        </row>
        <row r="77">
          <cell r="A77">
            <v>80185</v>
          </cell>
          <cell r="B77" t="str">
            <v>Holy Family</v>
          </cell>
          <cell r="C77" t="str">
            <v>BBFW</v>
          </cell>
          <cell r="D77" t="str">
            <v>VN 08/09 CSV60 Sch Balances B/F</v>
          </cell>
          <cell r="E77">
            <v>181900</v>
          </cell>
          <cell r="F77">
            <v>157683.13</v>
          </cell>
          <cell r="G77">
            <v>24216.869999999995</v>
          </cell>
          <cell r="H77">
            <v>-34</v>
          </cell>
          <cell r="I77">
            <v>24182.869999999995</v>
          </cell>
          <cell r="J77">
            <v>-23000</v>
          </cell>
          <cell r="K77">
            <v>1182.8699999999953</v>
          </cell>
        </row>
        <row r="78">
          <cell r="A78">
            <v>80510</v>
          </cell>
          <cell r="B78" t="str">
            <v>Bow</v>
          </cell>
          <cell r="C78" t="str">
            <v>BBFW</v>
          </cell>
          <cell r="D78" t="str">
            <v>VN 08/09 CSV60 Sch Balances B/F</v>
          </cell>
          <cell r="E78">
            <v>1621100</v>
          </cell>
          <cell r="F78">
            <v>904560.25</v>
          </cell>
          <cell r="G78">
            <v>716539.75</v>
          </cell>
          <cell r="H78">
            <v>32</v>
          </cell>
          <cell r="I78">
            <v>716571.75</v>
          </cell>
          <cell r="J78">
            <v>-639340</v>
          </cell>
          <cell r="K78">
            <v>77231.75</v>
          </cell>
        </row>
        <row r="79">
          <cell r="A79">
            <v>80530</v>
          </cell>
          <cell r="B79" t="str">
            <v>Langdon Park</v>
          </cell>
          <cell r="C79" t="str">
            <v>BBFW</v>
          </cell>
          <cell r="D79" t="str">
            <v>VN 08/09 CSV60 Sch Balances B/F</v>
          </cell>
          <cell r="E79">
            <v>1906100</v>
          </cell>
          <cell r="F79">
            <v>1906042.84</v>
          </cell>
          <cell r="G79">
            <v>57.159999999916181</v>
          </cell>
          <cell r="H79">
            <v>-34</v>
          </cell>
          <cell r="I79">
            <v>23.159999999916181</v>
          </cell>
          <cell r="J79">
            <v>0</v>
          </cell>
          <cell r="K79">
            <v>23.159999999916181</v>
          </cell>
        </row>
        <row r="80">
          <cell r="A80">
            <v>80535</v>
          </cell>
          <cell r="B80" t="str">
            <v>Morpeth</v>
          </cell>
          <cell r="C80" t="str">
            <v>BBFW</v>
          </cell>
          <cell r="D80" t="str">
            <v>VN 08/09 CSV60 Sch Balances B/F</v>
          </cell>
          <cell r="E80">
            <v>736300</v>
          </cell>
          <cell r="F80">
            <v>670280.39</v>
          </cell>
          <cell r="G80">
            <v>66019.609999999986</v>
          </cell>
          <cell r="H80">
            <v>-34</v>
          </cell>
          <cell r="I80">
            <v>65985.609999999986</v>
          </cell>
          <cell r="J80">
            <v>0</v>
          </cell>
          <cell r="K80">
            <v>65985.609999999986</v>
          </cell>
        </row>
        <row r="81">
          <cell r="A81">
            <v>80540</v>
          </cell>
          <cell r="B81" t="str">
            <v>Mulberry</v>
          </cell>
          <cell r="C81" t="str">
            <v>BBFW</v>
          </cell>
          <cell r="D81" t="str">
            <v>VN 08/09 CSV60 Sch Balances B/F</v>
          </cell>
          <cell r="E81">
            <v>4073100</v>
          </cell>
          <cell r="F81">
            <v>4191083.11</v>
          </cell>
          <cell r="G81">
            <v>-117983.10999999987</v>
          </cell>
          <cell r="H81">
            <v>-23</v>
          </cell>
          <cell r="I81">
            <v>-118006.10999999987</v>
          </cell>
          <cell r="J81">
            <v>0</v>
          </cell>
          <cell r="K81">
            <v>-118006.10999999987</v>
          </cell>
        </row>
        <row r="82">
          <cell r="A82">
            <v>80560</v>
          </cell>
          <cell r="B82" t="str">
            <v>Stepney Green</v>
          </cell>
          <cell r="C82" t="str">
            <v>BBFW</v>
          </cell>
          <cell r="D82" t="str">
            <v>VN 08/09 CSV60 Sch Balances B/F</v>
          </cell>
          <cell r="E82">
            <v>1580900</v>
          </cell>
          <cell r="F82">
            <v>1548621.75</v>
          </cell>
          <cell r="G82">
            <v>32278.25</v>
          </cell>
          <cell r="H82">
            <v>-23</v>
          </cell>
          <cell r="I82">
            <v>32255.25</v>
          </cell>
          <cell r="J82">
            <v>0</v>
          </cell>
          <cell r="K82">
            <v>32255.25</v>
          </cell>
        </row>
        <row r="83">
          <cell r="A83">
            <v>80550</v>
          </cell>
          <cell r="B83" t="str">
            <v>St Pauls Way</v>
          </cell>
          <cell r="C83" t="str">
            <v>BBFW</v>
          </cell>
          <cell r="D83" t="str">
            <v>VN 08/09 CSV60 Sch Balances B/F</v>
          </cell>
          <cell r="E83">
            <v>128700</v>
          </cell>
          <cell r="F83">
            <v>130190.79</v>
          </cell>
          <cell r="G83">
            <v>-1490.7899999999936</v>
          </cell>
          <cell r="H83">
            <v>9</v>
          </cell>
          <cell r="I83">
            <v>-1481.7899999999936</v>
          </cell>
          <cell r="J83">
            <v>0</v>
          </cell>
          <cell r="K83">
            <v>-1481.7899999999936</v>
          </cell>
        </row>
        <row r="84">
          <cell r="A84">
            <v>80520</v>
          </cell>
          <cell r="B84" t="str">
            <v>Bethnal Green</v>
          </cell>
          <cell r="C84" t="str">
            <v>BBFW</v>
          </cell>
          <cell r="D84" t="str">
            <v>VN 08/09 CSV60 Sch Balances B/F</v>
          </cell>
          <cell r="E84">
            <v>357500</v>
          </cell>
          <cell r="F84">
            <v>462420.76</v>
          </cell>
          <cell r="G84">
            <v>-104920.76000000001</v>
          </cell>
          <cell r="H84">
            <v>41</v>
          </cell>
          <cell r="I84">
            <v>-104879.76000000001</v>
          </cell>
          <cell r="J84">
            <v>-73882.320000000007</v>
          </cell>
          <cell r="K84">
            <v>-178762.08000000002</v>
          </cell>
        </row>
        <row r="85">
          <cell r="A85">
            <v>80545</v>
          </cell>
          <cell r="B85" t="str">
            <v>Oaklands</v>
          </cell>
          <cell r="C85" t="str">
            <v>BBFW</v>
          </cell>
          <cell r="D85" t="str">
            <v>VN 08/09 CSV60 Sch Balances B/F</v>
          </cell>
          <cell r="E85">
            <v>228300</v>
          </cell>
          <cell r="F85">
            <v>345581.36</v>
          </cell>
          <cell r="G85">
            <v>-117281.35999999999</v>
          </cell>
          <cell r="H85">
            <v>5</v>
          </cell>
          <cell r="I85">
            <v>-117276.35999999999</v>
          </cell>
          <cell r="J85">
            <v>18639</v>
          </cell>
          <cell r="K85">
            <v>-98637.359999999986</v>
          </cell>
        </row>
        <row r="86">
          <cell r="A86">
            <v>80565</v>
          </cell>
          <cell r="B86" t="str">
            <v>Swanlea</v>
          </cell>
          <cell r="C86" t="str">
            <v>BBFW</v>
          </cell>
          <cell r="D86" t="str">
            <v>VN 08/09 CSV60 Sch Balances B/F</v>
          </cell>
          <cell r="E86">
            <v>1324300</v>
          </cell>
          <cell r="F86">
            <v>1497237.76</v>
          </cell>
          <cell r="G86">
            <v>-172937.76</v>
          </cell>
          <cell r="H86">
            <v>30</v>
          </cell>
          <cell r="I86">
            <v>-172907.76</v>
          </cell>
          <cell r="J86">
            <v>0</v>
          </cell>
          <cell r="K86">
            <v>-172907.76</v>
          </cell>
        </row>
        <row r="87">
          <cell r="A87">
            <v>80575</v>
          </cell>
          <cell r="B87" t="str">
            <v>Bishop Challoner Boys</v>
          </cell>
          <cell r="C87" t="str">
            <v>BBFW</v>
          </cell>
          <cell r="D87" t="str">
            <v>VN 08/09 CSV60 Sch Balances B/F</v>
          </cell>
          <cell r="E87">
            <v>205800</v>
          </cell>
          <cell r="F87">
            <v>59372</v>
          </cell>
          <cell r="G87">
            <v>146428</v>
          </cell>
          <cell r="H87">
            <v>50</v>
          </cell>
          <cell r="I87">
            <v>146478</v>
          </cell>
          <cell r="J87">
            <v>0</v>
          </cell>
          <cell r="K87">
            <v>146478</v>
          </cell>
        </row>
        <row r="88">
          <cell r="A88">
            <v>80525</v>
          </cell>
          <cell r="B88" t="str">
            <v>George Green</v>
          </cell>
          <cell r="C88" t="str">
            <v>BBFW</v>
          </cell>
          <cell r="D88" t="str">
            <v>VN 08/09 CSV60 Sch Balances B/F</v>
          </cell>
          <cell r="E88">
            <v>1044200</v>
          </cell>
          <cell r="F88">
            <v>584529.60999999917</v>
          </cell>
          <cell r="G88">
            <v>459670.39000000083</v>
          </cell>
          <cell r="H88">
            <v>46</v>
          </cell>
          <cell r="I88">
            <v>459716.39000000083</v>
          </cell>
          <cell r="J88">
            <v>-446783.41</v>
          </cell>
          <cell r="K88">
            <v>12932.980000000854</v>
          </cell>
        </row>
        <row r="89">
          <cell r="A89">
            <v>80515</v>
          </cell>
          <cell r="B89" t="str">
            <v>Central Foundation</v>
          </cell>
          <cell r="C89" t="str">
            <v>BBFW</v>
          </cell>
          <cell r="D89" t="str">
            <v>VN 08/09 CSV60 Sch Balances B/F</v>
          </cell>
          <cell r="E89">
            <v>-137300</v>
          </cell>
          <cell r="F89">
            <v>-192046.90999999922</v>
          </cell>
          <cell r="G89">
            <v>54746.909999999218</v>
          </cell>
          <cell r="H89">
            <v>-18</v>
          </cell>
          <cell r="I89">
            <v>54728.909999999218</v>
          </cell>
          <cell r="J89">
            <v>-54731.58</v>
          </cell>
          <cell r="K89">
            <v>-2.6700000007840572</v>
          </cell>
        </row>
        <row r="90">
          <cell r="A90">
            <v>80555</v>
          </cell>
          <cell r="B90" t="str">
            <v>Sir John Cass</v>
          </cell>
          <cell r="C90" t="str">
            <v>BBFW</v>
          </cell>
          <cell r="D90" t="str">
            <v>VN 08/09 CSV60 Sch Balances B/F</v>
          </cell>
          <cell r="E90">
            <v>631800</v>
          </cell>
          <cell r="F90">
            <v>629628.71</v>
          </cell>
          <cell r="G90">
            <v>2171.2900000000373</v>
          </cell>
          <cell r="H90">
            <v>-41</v>
          </cell>
          <cell r="I90">
            <v>2130.2900000000373</v>
          </cell>
          <cell r="J90">
            <v>-139596.51</v>
          </cell>
          <cell r="K90">
            <v>-137466.21999999997</v>
          </cell>
        </row>
        <row r="91">
          <cell r="A91">
            <v>80500</v>
          </cell>
          <cell r="B91" t="str">
            <v>Bishop Challoner Girls</v>
          </cell>
          <cell r="C91" t="str">
            <v>BBFW</v>
          </cell>
          <cell r="D91" t="str">
            <v>VN 08/09 CSV60 Sch Balances B/F</v>
          </cell>
          <cell r="E91">
            <v>5300</v>
          </cell>
          <cell r="F91">
            <v>79284</v>
          </cell>
          <cell r="G91">
            <v>-73984</v>
          </cell>
          <cell r="H91">
            <v>25</v>
          </cell>
          <cell r="I91">
            <v>-73959</v>
          </cell>
          <cell r="J91">
            <v>0</v>
          </cell>
          <cell r="K91">
            <v>-73959</v>
          </cell>
        </row>
        <row r="92">
          <cell r="A92">
            <v>80570</v>
          </cell>
          <cell r="B92" t="str">
            <v>Raines</v>
          </cell>
          <cell r="C92" t="str">
            <v>BBFW</v>
          </cell>
          <cell r="D92" t="str">
            <v>VN 08/09 CSV60 Sch Balances B/F</v>
          </cell>
          <cell r="E92">
            <v>237500</v>
          </cell>
          <cell r="F92">
            <v>256010</v>
          </cell>
          <cell r="G92">
            <v>-18510</v>
          </cell>
          <cell r="H92">
            <v>37</v>
          </cell>
          <cell r="I92">
            <v>-18473</v>
          </cell>
          <cell r="J92">
            <v>-81279</v>
          </cell>
          <cell r="K92">
            <v>-99752</v>
          </cell>
        </row>
        <row r="93">
          <cell r="A93">
            <v>80605</v>
          </cell>
          <cell r="B93" t="str">
            <v>Bowden House</v>
          </cell>
          <cell r="C93" t="str">
            <v>BBFW</v>
          </cell>
          <cell r="D93" t="str">
            <v>VN 08/09 CSV60 Sch Balances B/F</v>
          </cell>
          <cell r="E93">
            <v>1430000</v>
          </cell>
          <cell r="F93">
            <v>1430024.44</v>
          </cell>
          <cell r="G93">
            <v>-24.439999999944121</v>
          </cell>
          <cell r="H93">
            <v>13</v>
          </cell>
          <cell r="I93">
            <v>-11.439999999944121</v>
          </cell>
          <cell r="J93">
            <v>0</v>
          </cell>
          <cell r="K93">
            <v>-11.439999999944121</v>
          </cell>
        </row>
        <row r="94">
          <cell r="A94">
            <v>80625</v>
          </cell>
          <cell r="B94" t="str">
            <v>Phoenix</v>
          </cell>
          <cell r="C94" t="str">
            <v>BBFW</v>
          </cell>
          <cell r="D94" t="str">
            <v>VN 08/09 CSV60 Sch Balances B/F</v>
          </cell>
          <cell r="E94">
            <v>218500</v>
          </cell>
          <cell r="F94">
            <v>292385.2</v>
          </cell>
          <cell r="G94">
            <v>-73885.200000000012</v>
          </cell>
          <cell r="H94">
            <v>-35</v>
          </cell>
          <cell r="I94">
            <v>-73920.200000000012</v>
          </cell>
          <cell r="J94">
            <v>84150</v>
          </cell>
          <cell r="K94">
            <v>10229.799999999988</v>
          </cell>
        </row>
        <row r="95">
          <cell r="A95">
            <v>80635</v>
          </cell>
          <cell r="B95" t="str">
            <v>Beatrice Tate</v>
          </cell>
          <cell r="C95" t="str">
            <v>BBFW</v>
          </cell>
          <cell r="D95" t="str">
            <v>VN 08/09 CSV60 Sch Balances B/F</v>
          </cell>
          <cell r="E95">
            <v>981600</v>
          </cell>
          <cell r="F95">
            <v>1011767.09</v>
          </cell>
          <cell r="G95">
            <v>-30167.089999999967</v>
          </cell>
          <cell r="H95">
            <v>39</v>
          </cell>
          <cell r="I95">
            <v>-30128.089999999967</v>
          </cell>
          <cell r="J95">
            <v>30261.65</v>
          </cell>
          <cell r="K95">
            <v>133.56000000003405</v>
          </cell>
        </row>
        <row r="96">
          <cell r="A96">
            <v>80640</v>
          </cell>
          <cell r="B96" t="str">
            <v>Stephen Hawkings</v>
          </cell>
          <cell r="C96" t="str">
            <v>BBFW</v>
          </cell>
          <cell r="D96" t="str">
            <v>VN 08/09 CSV60 Sch Balances B/F</v>
          </cell>
          <cell r="E96">
            <v>820700</v>
          </cell>
          <cell r="F96">
            <v>794057.26</v>
          </cell>
          <cell r="G96">
            <v>26642.739999999991</v>
          </cell>
          <cell r="H96">
            <v>-32</v>
          </cell>
          <cell r="I96">
            <v>26610.739999999991</v>
          </cell>
          <cell r="J96">
            <v>-22800</v>
          </cell>
          <cell r="K96">
            <v>3810.7399999999907</v>
          </cell>
        </row>
        <row r="97">
          <cell r="A97">
            <v>80650</v>
          </cell>
          <cell r="B97" t="str">
            <v>Cherry Trees</v>
          </cell>
          <cell r="C97" t="str">
            <v>BBFW</v>
          </cell>
          <cell r="D97" t="str">
            <v>VN 08/09 CSV60 Sch Balances B/F</v>
          </cell>
          <cell r="E97">
            <v>447900</v>
          </cell>
          <cell r="F97">
            <v>459784.41</v>
          </cell>
          <cell r="G97">
            <v>-11884.409999999974</v>
          </cell>
          <cell r="H97">
            <v>-39</v>
          </cell>
          <cell r="I97">
            <v>-11923.409999999974</v>
          </cell>
          <cell r="J97">
            <v>0</v>
          </cell>
          <cell r="K97">
            <v>-11923.409999999974</v>
          </cell>
        </row>
        <row r="98">
          <cell r="A98">
            <v>80645</v>
          </cell>
          <cell r="B98" t="str">
            <v>Ian Mikardo</v>
          </cell>
          <cell r="C98" t="str">
            <v>BBFW</v>
          </cell>
          <cell r="D98" t="str">
            <v>VN 08/09 CSV60 Sch Balances B/F</v>
          </cell>
          <cell r="E98">
            <v>-243000</v>
          </cell>
          <cell r="F98">
            <v>-114712.78</v>
          </cell>
          <cell r="G98">
            <v>-128287.22</v>
          </cell>
          <cell r="H98">
            <v>34</v>
          </cell>
          <cell r="I98">
            <v>-128253.22</v>
          </cell>
          <cell r="J98">
            <v>-5411.87</v>
          </cell>
          <cell r="K98">
            <v>-133665.09</v>
          </cell>
        </row>
      </sheetData>
      <sheetData sheetId="3" refreshError="1">
        <row r="1">
          <cell r="A1">
            <v>80000</v>
          </cell>
          <cell r="B1" t="str">
            <v>80000.1872</v>
          </cell>
          <cell r="C1">
            <v>-2178.9499999999998</v>
          </cell>
        </row>
        <row r="2">
          <cell r="A2">
            <v>80425</v>
          </cell>
          <cell r="B2" t="str">
            <v>80425.1872</v>
          </cell>
          <cell r="C2">
            <v>-11063.06</v>
          </cell>
        </row>
        <row r="3">
          <cell r="A3">
            <v>80050</v>
          </cell>
          <cell r="B3" t="str">
            <v>80050.1872</v>
          </cell>
          <cell r="C3">
            <v>-6095.19</v>
          </cell>
        </row>
        <row r="4">
          <cell r="A4">
            <v>80635</v>
          </cell>
          <cell r="B4" t="str">
            <v>80635.1872</v>
          </cell>
          <cell r="C4">
            <v>-7850.77</v>
          </cell>
        </row>
        <row r="5">
          <cell r="A5">
            <v>80055</v>
          </cell>
          <cell r="B5" t="str">
            <v>80055.1872</v>
          </cell>
          <cell r="C5">
            <v>-4338.34</v>
          </cell>
        </row>
        <row r="6">
          <cell r="A6">
            <v>80520</v>
          </cell>
          <cell r="B6" t="str">
            <v>80520.1872</v>
          </cell>
          <cell r="C6">
            <v>-32694.3</v>
          </cell>
        </row>
        <row r="7">
          <cell r="A7">
            <v>80060</v>
          </cell>
          <cell r="B7" t="str">
            <v>80060.1872</v>
          </cell>
          <cell r="C7">
            <v>-25600.12</v>
          </cell>
        </row>
        <row r="8">
          <cell r="A8">
            <v>80500</v>
          </cell>
          <cell r="B8" t="str">
            <v>80500.1872</v>
          </cell>
          <cell r="C8">
            <v>-462921.85</v>
          </cell>
        </row>
        <row r="9">
          <cell r="A9">
            <v>80065</v>
          </cell>
          <cell r="B9" t="str">
            <v>80065.1872</v>
          </cell>
          <cell r="C9">
            <v>-7600.52</v>
          </cell>
        </row>
        <row r="10">
          <cell r="A10">
            <v>80070</v>
          </cell>
          <cell r="B10" t="str">
            <v>80070.1872</v>
          </cell>
          <cell r="C10">
            <v>-4219.66</v>
          </cell>
        </row>
        <row r="11">
          <cell r="A11">
            <v>80510</v>
          </cell>
          <cell r="B11" t="str">
            <v>80510.1872</v>
          </cell>
          <cell r="C11">
            <v>-12693.08</v>
          </cell>
        </row>
        <row r="12">
          <cell r="A12">
            <v>80605</v>
          </cell>
          <cell r="B12" t="str">
            <v>80605.1872</v>
          </cell>
          <cell r="C12">
            <v>-9077.74</v>
          </cell>
        </row>
        <row r="13">
          <cell r="A13">
            <v>80080</v>
          </cell>
          <cell r="B13" t="str">
            <v>80080.1872</v>
          </cell>
          <cell r="C13">
            <v>-4739.59</v>
          </cell>
        </row>
        <row r="14">
          <cell r="A14">
            <v>80085</v>
          </cell>
          <cell r="B14" t="str">
            <v>80085.1872</v>
          </cell>
          <cell r="C14">
            <v>-13846.22</v>
          </cell>
        </row>
        <row r="15">
          <cell r="A15">
            <v>80090</v>
          </cell>
          <cell r="B15" t="str">
            <v>80090.1872</v>
          </cell>
          <cell r="C15">
            <v>-8174.82</v>
          </cell>
        </row>
        <row r="16">
          <cell r="A16">
            <v>80515</v>
          </cell>
          <cell r="B16" t="str">
            <v>80515.1872</v>
          </cell>
          <cell r="C16">
            <v>-59624.95</v>
          </cell>
        </row>
        <row r="17">
          <cell r="A17">
            <v>80650</v>
          </cell>
          <cell r="B17" t="str">
            <v>80650.1872</v>
          </cell>
          <cell r="C17">
            <v>-9537.4699999999993</v>
          </cell>
        </row>
        <row r="18">
          <cell r="A18">
            <v>80005</v>
          </cell>
          <cell r="B18" t="str">
            <v>80005.1872</v>
          </cell>
          <cell r="C18">
            <v>-395.58</v>
          </cell>
        </row>
        <row r="19">
          <cell r="A19">
            <v>80095</v>
          </cell>
          <cell r="B19" t="str">
            <v>80095.1872</v>
          </cell>
          <cell r="C19">
            <v>-11276.88</v>
          </cell>
        </row>
        <row r="20">
          <cell r="A20">
            <v>80100</v>
          </cell>
          <cell r="B20" t="str">
            <v>80100.1872</v>
          </cell>
          <cell r="C20">
            <v>-2678.3</v>
          </cell>
        </row>
        <row r="21">
          <cell r="A21">
            <v>80105</v>
          </cell>
          <cell r="B21" t="str">
            <v>80105.1872</v>
          </cell>
          <cell r="C21">
            <v>-5670.03</v>
          </cell>
        </row>
        <row r="22">
          <cell r="A22">
            <v>80110</v>
          </cell>
          <cell r="B22" t="str">
            <v>80110.1872</v>
          </cell>
          <cell r="C22">
            <v>-6018.96</v>
          </cell>
        </row>
        <row r="23">
          <cell r="A23">
            <v>80010</v>
          </cell>
          <cell r="B23" t="str">
            <v>80010.1872</v>
          </cell>
          <cell r="C23">
            <v>-2931.74</v>
          </cell>
        </row>
        <row r="24">
          <cell r="A24">
            <v>80115</v>
          </cell>
          <cell r="B24" t="str">
            <v>80115.1872</v>
          </cell>
          <cell r="C24">
            <v>-1662.5</v>
          </cell>
        </row>
        <row r="25">
          <cell r="A25">
            <v>80120</v>
          </cell>
          <cell r="B25" t="str">
            <v>80120.1872</v>
          </cell>
          <cell r="C25">
            <v>-10970.16</v>
          </cell>
        </row>
        <row r="26">
          <cell r="A26">
            <v>80125</v>
          </cell>
          <cell r="B26" t="str">
            <v>80125.1872</v>
          </cell>
          <cell r="C26">
            <v>-51812.53</v>
          </cell>
        </row>
        <row r="27">
          <cell r="A27">
            <v>80130</v>
          </cell>
          <cell r="B27" t="str">
            <v>80130.1872</v>
          </cell>
          <cell r="C27">
            <v>-17521.75</v>
          </cell>
        </row>
        <row r="28">
          <cell r="A28">
            <v>80135</v>
          </cell>
          <cell r="B28" t="str">
            <v>80135.1872</v>
          </cell>
          <cell r="C28">
            <v>-23283.9</v>
          </cell>
        </row>
        <row r="29">
          <cell r="A29">
            <v>80140</v>
          </cell>
          <cell r="B29" t="str">
            <v>80140.1872</v>
          </cell>
          <cell r="C29">
            <v>-7763.48</v>
          </cell>
        </row>
        <row r="30">
          <cell r="A30">
            <v>80525</v>
          </cell>
          <cell r="B30" t="str">
            <v>80525.1872</v>
          </cell>
          <cell r="C30">
            <v>-13534.24</v>
          </cell>
        </row>
        <row r="31">
          <cell r="A31">
            <v>80145</v>
          </cell>
          <cell r="B31" t="str">
            <v>80145.1872</v>
          </cell>
          <cell r="C31">
            <v>-2237.9899999999998</v>
          </cell>
        </row>
        <row r="32">
          <cell r="A32">
            <v>80150</v>
          </cell>
          <cell r="B32" t="str">
            <v>80150.1872</v>
          </cell>
          <cell r="C32">
            <v>-4505.8900000000003</v>
          </cell>
        </row>
        <row r="33">
          <cell r="A33">
            <v>80155</v>
          </cell>
          <cell r="B33" t="str">
            <v>80155.1872</v>
          </cell>
          <cell r="C33">
            <v>-4584.38</v>
          </cell>
        </row>
        <row r="34">
          <cell r="A34">
            <v>80160</v>
          </cell>
          <cell r="B34" t="str">
            <v>80160.1872</v>
          </cell>
          <cell r="C34">
            <v>-3942.77</v>
          </cell>
        </row>
        <row r="35">
          <cell r="A35">
            <v>80165</v>
          </cell>
          <cell r="B35" t="str">
            <v>80165.1872</v>
          </cell>
          <cell r="C35">
            <v>-13380.65</v>
          </cell>
        </row>
        <row r="36">
          <cell r="A36">
            <v>80430</v>
          </cell>
          <cell r="B36" t="str">
            <v>80430.1872</v>
          </cell>
          <cell r="C36">
            <v>-4118.76</v>
          </cell>
        </row>
        <row r="37">
          <cell r="A37">
            <v>80020</v>
          </cell>
          <cell r="B37" t="str">
            <v>80020.1872</v>
          </cell>
          <cell r="C37">
            <v>-1780.4</v>
          </cell>
        </row>
        <row r="38">
          <cell r="A38">
            <v>80180</v>
          </cell>
          <cell r="B38" t="str">
            <v>80180.1872</v>
          </cell>
          <cell r="C38">
            <v>-4382.59</v>
          </cell>
        </row>
        <row r="39">
          <cell r="A39">
            <v>80185</v>
          </cell>
          <cell r="B39" t="str">
            <v>80185.1872</v>
          </cell>
          <cell r="C39">
            <v>-8444.33</v>
          </cell>
        </row>
        <row r="40">
          <cell r="A40">
            <v>80645</v>
          </cell>
          <cell r="B40" t="str">
            <v>80645.1872</v>
          </cell>
          <cell r="C40">
            <v>-6133.32</v>
          </cell>
        </row>
        <row r="41">
          <cell r="A41">
            <v>80190</v>
          </cell>
          <cell r="B41" t="str">
            <v>80190.1872</v>
          </cell>
          <cell r="C41">
            <v>-2075.62</v>
          </cell>
        </row>
        <row r="42">
          <cell r="A42">
            <v>80345</v>
          </cell>
          <cell r="B42" t="str">
            <v>80345.1872</v>
          </cell>
          <cell r="C42">
            <v>-5255.25</v>
          </cell>
        </row>
        <row r="43">
          <cell r="A43">
            <v>80530</v>
          </cell>
          <cell r="B43" t="str">
            <v>80530.1872</v>
          </cell>
          <cell r="C43">
            <v>-13881.75</v>
          </cell>
        </row>
        <row r="44">
          <cell r="A44">
            <v>80450</v>
          </cell>
          <cell r="B44" t="str">
            <v>80450.1872</v>
          </cell>
          <cell r="C44">
            <v>-8547.33</v>
          </cell>
        </row>
        <row r="45">
          <cell r="A45">
            <v>80195</v>
          </cell>
          <cell r="B45" t="str">
            <v>80195.1872</v>
          </cell>
          <cell r="C45">
            <v>-1815.9</v>
          </cell>
        </row>
        <row r="46">
          <cell r="A46">
            <v>80455</v>
          </cell>
          <cell r="B46" t="str">
            <v>80455.1872</v>
          </cell>
          <cell r="C46">
            <v>-32313.74</v>
          </cell>
        </row>
        <row r="47">
          <cell r="A47">
            <v>80210</v>
          </cell>
          <cell r="B47" t="str">
            <v>80210.1872</v>
          </cell>
          <cell r="C47">
            <v>-10981.33</v>
          </cell>
        </row>
        <row r="48">
          <cell r="A48">
            <v>80215</v>
          </cell>
          <cell r="B48" t="str">
            <v>80215.1872</v>
          </cell>
          <cell r="C48">
            <v>-2755.91</v>
          </cell>
        </row>
        <row r="49">
          <cell r="A49">
            <v>80220</v>
          </cell>
          <cell r="B49" t="str">
            <v>80220.1872</v>
          </cell>
          <cell r="C49">
            <v>-4543.47</v>
          </cell>
        </row>
        <row r="50">
          <cell r="A50">
            <v>80225</v>
          </cell>
          <cell r="B50" t="str">
            <v>80225.1872</v>
          </cell>
          <cell r="C50">
            <v>-8653.3700000000008</v>
          </cell>
        </row>
        <row r="51">
          <cell r="A51">
            <v>80535</v>
          </cell>
          <cell r="B51" t="str">
            <v>80535.1872</v>
          </cell>
          <cell r="C51">
            <v>-21016.09</v>
          </cell>
        </row>
        <row r="52">
          <cell r="A52">
            <v>80230</v>
          </cell>
          <cell r="B52" t="str">
            <v>80230.1872</v>
          </cell>
          <cell r="C52">
            <v>-20599.87</v>
          </cell>
        </row>
        <row r="53">
          <cell r="A53">
            <v>80540</v>
          </cell>
          <cell r="B53" t="str">
            <v>80540.1872</v>
          </cell>
          <cell r="C53">
            <v>-42275.86</v>
          </cell>
        </row>
        <row r="54">
          <cell r="A54">
            <v>80545</v>
          </cell>
          <cell r="B54" t="str">
            <v>80545.1872</v>
          </cell>
          <cell r="C54">
            <v>-9983.66</v>
          </cell>
        </row>
        <row r="55">
          <cell r="A55">
            <v>80025</v>
          </cell>
          <cell r="B55" t="str">
            <v>80025.1872</v>
          </cell>
          <cell r="C55">
            <v>-12637.08</v>
          </cell>
        </row>
        <row r="56">
          <cell r="A56">
            <v>80435</v>
          </cell>
          <cell r="B56" t="str">
            <v>80435.1872</v>
          </cell>
          <cell r="C56">
            <v>-15514.53</v>
          </cell>
        </row>
        <row r="57">
          <cell r="A57">
            <v>80245</v>
          </cell>
          <cell r="B57" t="str">
            <v>80245.1872</v>
          </cell>
          <cell r="C57">
            <v>-15167.33</v>
          </cell>
        </row>
        <row r="58">
          <cell r="A58">
            <v>80250</v>
          </cell>
          <cell r="B58" t="str">
            <v>80250.1872</v>
          </cell>
          <cell r="C58">
            <v>-6337.66</v>
          </cell>
        </row>
        <row r="59">
          <cell r="A59">
            <v>80255</v>
          </cell>
          <cell r="B59" t="str">
            <v>80255.1872</v>
          </cell>
          <cell r="C59">
            <v>-2646.69</v>
          </cell>
        </row>
        <row r="60">
          <cell r="A60">
            <v>80260</v>
          </cell>
          <cell r="B60" t="str">
            <v>80260.1872</v>
          </cell>
          <cell r="C60">
            <v>-3174.79</v>
          </cell>
        </row>
        <row r="61">
          <cell r="A61">
            <v>80625</v>
          </cell>
          <cell r="B61" t="str">
            <v>80625.1872</v>
          </cell>
          <cell r="C61">
            <v>-16844.439999999999</v>
          </cell>
        </row>
        <row r="62">
          <cell r="A62">
            <v>80030</v>
          </cell>
          <cell r="B62" t="str">
            <v>80030.1872</v>
          </cell>
          <cell r="C62">
            <v>-2349.9499999999998</v>
          </cell>
        </row>
        <row r="63">
          <cell r="A63">
            <v>80570</v>
          </cell>
          <cell r="B63" t="str">
            <v>80570.1872</v>
          </cell>
          <cell r="C63">
            <v>-14665.15</v>
          </cell>
        </row>
        <row r="64">
          <cell r="A64">
            <v>80270</v>
          </cell>
          <cell r="B64" t="str">
            <v>80270.1872</v>
          </cell>
          <cell r="C64">
            <v>-10588.17</v>
          </cell>
        </row>
        <row r="65">
          <cell r="A65">
            <v>80350</v>
          </cell>
          <cell r="B65" t="str">
            <v>80350.1872</v>
          </cell>
          <cell r="C65">
            <v>-2558.9299999999998</v>
          </cell>
        </row>
        <row r="66">
          <cell r="A66">
            <v>80355</v>
          </cell>
          <cell r="B66" t="str">
            <v>80355.1872</v>
          </cell>
          <cell r="C66">
            <v>-15220.91</v>
          </cell>
        </row>
        <row r="67">
          <cell r="A67">
            <v>80555</v>
          </cell>
          <cell r="B67" t="str">
            <v>80555.1872</v>
          </cell>
          <cell r="C67">
            <v>-18473.14</v>
          </cell>
        </row>
        <row r="68">
          <cell r="A68">
            <v>80360</v>
          </cell>
          <cell r="B68" t="str">
            <v>80360.1872</v>
          </cell>
          <cell r="C68">
            <v>-3456.35</v>
          </cell>
        </row>
        <row r="69">
          <cell r="A69">
            <v>80365</v>
          </cell>
          <cell r="B69" t="str">
            <v>80365.1872</v>
          </cell>
          <cell r="C69">
            <v>-2685.19</v>
          </cell>
        </row>
        <row r="70">
          <cell r="A70">
            <v>80275</v>
          </cell>
          <cell r="B70" t="str">
            <v>80275.1872</v>
          </cell>
          <cell r="C70">
            <v>-7045.78</v>
          </cell>
        </row>
        <row r="71">
          <cell r="A71">
            <v>80280</v>
          </cell>
          <cell r="B71" t="str">
            <v>80280.1872</v>
          </cell>
          <cell r="C71">
            <v>-5628.13</v>
          </cell>
        </row>
        <row r="72">
          <cell r="A72">
            <v>80285</v>
          </cell>
          <cell r="B72" t="str">
            <v>80285.1872</v>
          </cell>
          <cell r="C72">
            <v>-6398.6</v>
          </cell>
        </row>
        <row r="73">
          <cell r="A73">
            <v>80445</v>
          </cell>
          <cell r="B73" t="str">
            <v>80445.1872</v>
          </cell>
          <cell r="C73">
            <v>-15059.11</v>
          </cell>
        </row>
        <row r="74">
          <cell r="A74">
            <v>80295</v>
          </cell>
          <cell r="B74" t="str">
            <v>80295.1872</v>
          </cell>
          <cell r="C74">
            <v>-2556.15</v>
          </cell>
        </row>
        <row r="75">
          <cell r="A75">
            <v>80300</v>
          </cell>
          <cell r="B75" t="str">
            <v>80300.1872</v>
          </cell>
          <cell r="C75">
            <v>-4498.8500000000004</v>
          </cell>
        </row>
        <row r="76">
          <cell r="A76">
            <v>80440</v>
          </cell>
          <cell r="B76" t="str">
            <v>80440.1872</v>
          </cell>
          <cell r="C76">
            <v>-6889.72</v>
          </cell>
        </row>
        <row r="77">
          <cell r="A77">
            <v>80315</v>
          </cell>
          <cell r="B77" t="str">
            <v>80315.1872</v>
          </cell>
          <cell r="C77">
            <v>-6034.88</v>
          </cell>
        </row>
        <row r="78">
          <cell r="A78">
            <v>80330</v>
          </cell>
          <cell r="B78" t="str">
            <v>80330.1872</v>
          </cell>
          <cell r="C78">
            <v>-2282.71</v>
          </cell>
        </row>
        <row r="79">
          <cell r="A79">
            <v>80550</v>
          </cell>
          <cell r="B79" t="str">
            <v>80550.1872</v>
          </cell>
          <cell r="C79">
            <v>-19523.91</v>
          </cell>
        </row>
        <row r="80">
          <cell r="A80">
            <v>80325</v>
          </cell>
          <cell r="B80" t="str">
            <v>80325.1872</v>
          </cell>
          <cell r="C80">
            <v>-4790.0200000000004</v>
          </cell>
        </row>
        <row r="81">
          <cell r="A81">
            <v>80335</v>
          </cell>
          <cell r="B81" t="str">
            <v>80335.1872</v>
          </cell>
          <cell r="C81">
            <v>-3711.08</v>
          </cell>
        </row>
        <row r="82">
          <cell r="A82">
            <v>80340</v>
          </cell>
          <cell r="B82" t="str">
            <v>80340.1872</v>
          </cell>
          <cell r="C82">
            <v>-992.58</v>
          </cell>
        </row>
        <row r="83">
          <cell r="A83">
            <v>80370</v>
          </cell>
          <cell r="B83" t="str">
            <v>80370.1872</v>
          </cell>
          <cell r="C83">
            <v>-12598.54</v>
          </cell>
        </row>
        <row r="84">
          <cell r="A84">
            <v>80640</v>
          </cell>
          <cell r="B84" t="str">
            <v>80640.1872</v>
          </cell>
          <cell r="C84">
            <v>-6769.21</v>
          </cell>
        </row>
        <row r="85">
          <cell r="A85">
            <v>80560</v>
          </cell>
          <cell r="B85" t="str">
            <v>80560.1872</v>
          </cell>
          <cell r="C85">
            <v>-4212.87</v>
          </cell>
        </row>
        <row r="86">
          <cell r="A86">
            <v>80375</v>
          </cell>
          <cell r="B86" t="str">
            <v>80375.1872</v>
          </cell>
          <cell r="C86">
            <v>-9667.24</v>
          </cell>
        </row>
        <row r="87">
          <cell r="A87">
            <v>80380</v>
          </cell>
          <cell r="B87" t="str">
            <v>80380.1872</v>
          </cell>
          <cell r="C87">
            <v>-8613.2099999999991</v>
          </cell>
        </row>
        <row r="88">
          <cell r="A88">
            <v>80565</v>
          </cell>
          <cell r="B88" t="str">
            <v>80565.1872</v>
          </cell>
          <cell r="C88">
            <v>-34165.03</v>
          </cell>
        </row>
        <row r="89">
          <cell r="A89">
            <v>80395</v>
          </cell>
          <cell r="B89" t="str">
            <v>80395.1872</v>
          </cell>
          <cell r="C89">
            <v>-11789.04</v>
          </cell>
        </row>
        <row r="90">
          <cell r="A90">
            <v>80400</v>
          </cell>
          <cell r="B90" t="str">
            <v>80400.1872</v>
          </cell>
          <cell r="C90">
            <v>-8062.71</v>
          </cell>
        </row>
        <row r="91">
          <cell r="A91">
            <v>80405</v>
          </cell>
          <cell r="B91" t="str">
            <v>80405.1872</v>
          </cell>
          <cell r="C91">
            <v>-3800.16</v>
          </cell>
        </row>
        <row r="92">
          <cell r="A92">
            <v>80410</v>
          </cell>
          <cell r="B92" t="str">
            <v>80410.1872</v>
          </cell>
          <cell r="C92">
            <v>-3738.1</v>
          </cell>
        </row>
        <row r="93">
          <cell r="A93">
            <v>80415</v>
          </cell>
          <cell r="B93" t="str">
            <v>80415.1872</v>
          </cell>
          <cell r="C93">
            <v>-7132.35</v>
          </cell>
        </row>
        <row r="94">
          <cell r="A94">
            <v>80420</v>
          </cell>
          <cell r="B94" t="str">
            <v>80420.1872</v>
          </cell>
          <cell r="C94">
            <v>-14875.63</v>
          </cell>
        </row>
        <row r="95">
          <cell r="A95">
            <v>80635</v>
          </cell>
          <cell r="B95" t="str">
            <v>9100.0723.s</v>
          </cell>
          <cell r="C95">
            <v>1429142.8299999994</v>
          </cell>
        </row>
        <row r="96">
          <cell r="A96">
            <v>80640</v>
          </cell>
          <cell r="B96" t="str">
            <v>DOFAMCP</v>
          </cell>
          <cell r="C96" t="str">
            <v>BBFW</v>
          </cell>
        </row>
        <row r="97">
          <cell r="A97">
            <v>80650</v>
          </cell>
          <cell r="B97" t="str">
            <v>Batch no  708330</v>
          </cell>
          <cell r="C97" t="str">
            <v>BBFW</v>
          </cell>
        </row>
        <row r="98">
          <cell r="A98">
            <v>80645</v>
          </cell>
          <cell r="B98" t="str">
            <v>Document no  1623031</v>
          </cell>
          <cell r="C98" t="str">
            <v>BBFW</v>
          </cell>
        </row>
        <row r="99">
          <cell r="B99">
            <v>39903</v>
          </cell>
        </row>
      </sheetData>
      <sheetData sheetId="4">
        <row r="1">
          <cell r="A1">
            <v>80000</v>
          </cell>
        </row>
      </sheetData>
      <sheetData sheetId="5"/>
      <sheetData sheetId="6"/>
      <sheetData sheetId="7">
        <row r="7">
          <cell r="A7">
            <v>80000</v>
          </cell>
        </row>
      </sheetData>
      <sheetData sheetId="8">
        <row r="1">
          <cell r="B1" t="str">
            <v>R55CH115A</v>
          </cell>
        </row>
      </sheetData>
      <sheetData sheetId="9"/>
      <sheetData sheetId="10"/>
      <sheetData sheetId="11" refreshError="1">
        <row r="3">
          <cell r="A3">
            <v>80000</v>
          </cell>
          <cell r="B3" t="str">
            <v>Alice Model</v>
          </cell>
          <cell r="C3">
            <v>119437.85</v>
          </cell>
          <cell r="D3">
            <v>0</v>
          </cell>
          <cell r="E3">
            <v>-6300</v>
          </cell>
          <cell r="F3">
            <v>119437.85</v>
          </cell>
        </row>
        <row r="4">
          <cell r="A4">
            <v>80425</v>
          </cell>
          <cell r="B4" t="str">
            <v>Arnhem Wharf</v>
          </cell>
          <cell r="C4">
            <v>323967.90000000002</v>
          </cell>
          <cell r="D4">
            <v>0</v>
          </cell>
          <cell r="E4">
            <v>-32799</v>
          </cell>
          <cell r="F4">
            <v>291168.90000000002</v>
          </cell>
        </row>
        <row r="5">
          <cell r="A5">
            <v>80050</v>
          </cell>
          <cell r="B5" t="str">
            <v>Bangabandhu</v>
          </cell>
          <cell r="C5">
            <v>302551.55</v>
          </cell>
          <cell r="D5">
            <v>-802.77000000001863</v>
          </cell>
          <cell r="E5">
            <v>-61000</v>
          </cell>
          <cell r="F5">
            <v>240748.77999999997</v>
          </cell>
        </row>
        <row r="6">
          <cell r="A6">
            <v>80635</v>
          </cell>
          <cell r="B6" t="str">
            <v>Beatrice Tate</v>
          </cell>
          <cell r="C6">
            <v>1340290.6000000001</v>
          </cell>
          <cell r="D6">
            <v>0</v>
          </cell>
          <cell r="E6">
            <v>-8226.659999999998</v>
          </cell>
          <cell r="F6">
            <v>1332063.9400000002</v>
          </cell>
        </row>
        <row r="7">
          <cell r="A7">
            <v>80055</v>
          </cell>
          <cell r="B7" t="str">
            <v>Ben Jonson</v>
          </cell>
          <cell r="C7">
            <v>154718.69</v>
          </cell>
          <cell r="D7">
            <v>0</v>
          </cell>
          <cell r="E7">
            <v>-17751</v>
          </cell>
          <cell r="F7">
            <v>136967.69</v>
          </cell>
        </row>
        <row r="8">
          <cell r="A8">
            <v>80520</v>
          </cell>
          <cell r="B8" t="str">
            <v>Bethnal Green</v>
          </cell>
          <cell r="C8">
            <v>613347.41</v>
          </cell>
          <cell r="D8">
            <v>163.82999999995809</v>
          </cell>
          <cell r="E8">
            <v>-92823.78</v>
          </cell>
          <cell r="F8">
            <v>520687.45999999996</v>
          </cell>
        </row>
        <row r="9">
          <cell r="A9">
            <v>80060</v>
          </cell>
          <cell r="B9" t="str">
            <v>Bigland Green</v>
          </cell>
          <cell r="C9">
            <v>197367.3</v>
          </cell>
          <cell r="D9">
            <v>-850.54000000003725</v>
          </cell>
          <cell r="E9">
            <v>-27898.58</v>
          </cell>
          <cell r="F9">
            <v>168618.17999999993</v>
          </cell>
        </row>
        <row r="10">
          <cell r="A10">
            <v>80575</v>
          </cell>
          <cell r="B10" t="str">
            <v>Bishop Challoner Boys</v>
          </cell>
          <cell r="C10">
            <v>0</v>
          </cell>
          <cell r="D10">
            <v>0</v>
          </cell>
          <cell r="E10">
            <v>0</v>
          </cell>
          <cell r="F10">
            <v>0</v>
          </cell>
        </row>
        <row r="11">
          <cell r="A11">
            <v>80500</v>
          </cell>
          <cell r="B11" t="str">
            <v>Bishop Challoner Girls</v>
          </cell>
          <cell r="C11">
            <v>332054.44</v>
          </cell>
          <cell r="D11">
            <v>0</v>
          </cell>
          <cell r="E11">
            <v>0</v>
          </cell>
          <cell r="F11">
            <v>332054.44</v>
          </cell>
        </row>
        <row r="12">
          <cell r="A12">
            <v>80065</v>
          </cell>
          <cell r="B12" t="str">
            <v>Blue Gate Fields Infants</v>
          </cell>
          <cell r="C12">
            <v>682446.12</v>
          </cell>
          <cell r="D12">
            <v>109.47000000000116</v>
          </cell>
          <cell r="E12">
            <v>-10650</v>
          </cell>
          <cell r="F12">
            <v>671905.59</v>
          </cell>
        </row>
        <row r="13">
          <cell r="A13">
            <v>80070</v>
          </cell>
          <cell r="B13" t="str">
            <v>Blue Gate Fields Junior</v>
          </cell>
          <cell r="C13">
            <v>144205.18</v>
          </cell>
          <cell r="D13">
            <v>0</v>
          </cell>
          <cell r="E13">
            <v>-14963.36</v>
          </cell>
          <cell r="F13">
            <v>129241.81999999999</v>
          </cell>
        </row>
        <row r="14">
          <cell r="A14">
            <v>80075</v>
          </cell>
          <cell r="B14" t="str">
            <v>Bonner</v>
          </cell>
          <cell r="C14">
            <v>-53337.36</v>
          </cell>
          <cell r="D14">
            <v>0</v>
          </cell>
          <cell r="E14">
            <v>106961.14</v>
          </cell>
          <cell r="F14">
            <v>53623.78</v>
          </cell>
        </row>
        <row r="15">
          <cell r="A15">
            <v>80510</v>
          </cell>
          <cell r="B15" t="str">
            <v>Bow</v>
          </cell>
          <cell r="C15">
            <v>1374863.16</v>
          </cell>
          <cell r="D15">
            <v>1228.9400000000023</v>
          </cell>
          <cell r="E15">
            <v>-386035</v>
          </cell>
          <cell r="F15">
            <v>990057.09999999986</v>
          </cell>
        </row>
        <row r="16">
          <cell r="A16">
            <v>80605</v>
          </cell>
          <cell r="B16" t="str">
            <v>Bowden House</v>
          </cell>
          <cell r="C16">
            <v>1679204.98</v>
          </cell>
          <cell r="D16">
            <v>0</v>
          </cell>
          <cell r="E16">
            <v>0</v>
          </cell>
          <cell r="F16">
            <v>1679204.98</v>
          </cell>
        </row>
        <row r="17">
          <cell r="A17">
            <v>80080</v>
          </cell>
          <cell r="B17" t="str">
            <v>Bygrove</v>
          </cell>
          <cell r="C17">
            <v>97585.600000000006</v>
          </cell>
          <cell r="D17">
            <v>0</v>
          </cell>
          <cell r="E17">
            <v>-20000</v>
          </cell>
          <cell r="F17">
            <v>77585.600000000006</v>
          </cell>
        </row>
        <row r="18">
          <cell r="A18">
            <v>80085</v>
          </cell>
          <cell r="B18" t="str">
            <v>Canon Barnett</v>
          </cell>
          <cell r="C18">
            <v>269744.62</v>
          </cell>
          <cell r="D18">
            <v>0</v>
          </cell>
          <cell r="E18">
            <v>-56600</v>
          </cell>
          <cell r="F18">
            <v>213144.62</v>
          </cell>
        </row>
        <row r="19">
          <cell r="A19">
            <v>80090</v>
          </cell>
          <cell r="B19" t="str">
            <v>Cayley</v>
          </cell>
          <cell r="C19">
            <v>-7712.8199999999924</v>
          </cell>
          <cell r="D19">
            <v>0</v>
          </cell>
          <cell r="E19">
            <v>74788.95</v>
          </cell>
          <cell r="F19">
            <v>67076.13</v>
          </cell>
        </row>
        <row r="20">
          <cell r="A20">
            <v>80515</v>
          </cell>
          <cell r="B20" t="str">
            <v>Central Foundation</v>
          </cell>
          <cell r="C20">
            <v>-383150.89</v>
          </cell>
          <cell r="D20">
            <v>-1026.0400000000373</v>
          </cell>
          <cell r="E20">
            <v>-124751.94</v>
          </cell>
          <cell r="F20">
            <v>-508928.87000000005</v>
          </cell>
        </row>
        <row r="21">
          <cell r="A21">
            <v>80650</v>
          </cell>
          <cell r="B21" t="str">
            <v>Cherry Trees</v>
          </cell>
          <cell r="C21">
            <v>219917.31</v>
          </cell>
          <cell r="D21">
            <v>0</v>
          </cell>
          <cell r="E21">
            <v>0</v>
          </cell>
          <cell r="F21">
            <v>219917.31</v>
          </cell>
        </row>
        <row r="22">
          <cell r="A22">
            <v>80005</v>
          </cell>
          <cell r="B22" t="str">
            <v>Childrens House</v>
          </cell>
          <cell r="C22">
            <v>36030.269999999997</v>
          </cell>
          <cell r="D22">
            <v>0</v>
          </cell>
          <cell r="E22">
            <v>4463.5</v>
          </cell>
          <cell r="F22">
            <v>40493.769999999997</v>
          </cell>
        </row>
        <row r="23">
          <cell r="A23">
            <v>80095</v>
          </cell>
          <cell r="B23" t="str">
            <v>Chisenhale</v>
          </cell>
          <cell r="C23">
            <v>217774.78</v>
          </cell>
          <cell r="D23">
            <v>0</v>
          </cell>
          <cell r="E23">
            <v>-13558</v>
          </cell>
          <cell r="F23">
            <v>204216.78</v>
          </cell>
        </row>
        <row r="24">
          <cell r="A24">
            <v>80100</v>
          </cell>
          <cell r="B24" t="str">
            <v>Christchurch</v>
          </cell>
          <cell r="C24">
            <v>107305.32</v>
          </cell>
          <cell r="D24">
            <v>0</v>
          </cell>
          <cell r="E24">
            <v>-10500</v>
          </cell>
          <cell r="F24">
            <v>96805.32</v>
          </cell>
        </row>
        <row r="25">
          <cell r="A25">
            <v>80105</v>
          </cell>
          <cell r="B25" t="str">
            <v>Clara Grant</v>
          </cell>
          <cell r="C25">
            <v>175102.98</v>
          </cell>
          <cell r="D25">
            <v>0</v>
          </cell>
          <cell r="E25">
            <v>-21834.639999999999</v>
          </cell>
          <cell r="F25">
            <v>153268.34000000003</v>
          </cell>
        </row>
        <row r="26">
          <cell r="A26">
            <v>80110</v>
          </cell>
          <cell r="B26" t="str">
            <v>Columbia</v>
          </cell>
          <cell r="C26">
            <v>268477.17</v>
          </cell>
          <cell r="D26">
            <v>-2407.289999999979</v>
          </cell>
          <cell r="E26">
            <v>-99188.37</v>
          </cell>
          <cell r="F26">
            <v>166881.51</v>
          </cell>
        </row>
        <row r="27">
          <cell r="A27">
            <v>80010</v>
          </cell>
          <cell r="B27" t="str">
            <v>Columbia Market</v>
          </cell>
          <cell r="C27">
            <v>64620.51</v>
          </cell>
          <cell r="D27">
            <v>-22.57999999999447</v>
          </cell>
          <cell r="E27">
            <v>-427</v>
          </cell>
          <cell r="F27">
            <v>64170.930000000008</v>
          </cell>
        </row>
        <row r="28">
          <cell r="A28">
            <v>80115</v>
          </cell>
          <cell r="B28" t="str">
            <v>Cubitt Town Infants</v>
          </cell>
          <cell r="C28">
            <v>165346.46</v>
          </cell>
          <cell r="D28">
            <v>1303.7600000000093</v>
          </cell>
          <cell r="E28">
            <v>-193005.67</v>
          </cell>
          <cell r="F28">
            <v>-26355.450000000012</v>
          </cell>
        </row>
        <row r="29">
          <cell r="A29">
            <v>80120</v>
          </cell>
          <cell r="B29" t="str">
            <v>Cubitt Town Junior</v>
          </cell>
          <cell r="C29">
            <v>509191.14</v>
          </cell>
          <cell r="D29">
            <v>0</v>
          </cell>
          <cell r="E29">
            <v>-37900</v>
          </cell>
          <cell r="F29">
            <v>471291.14</v>
          </cell>
        </row>
        <row r="30">
          <cell r="A30">
            <v>80125</v>
          </cell>
          <cell r="B30" t="str">
            <v>Culloden</v>
          </cell>
          <cell r="C30">
            <v>513144.39</v>
          </cell>
          <cell r="D30">
            <v>213.17000000001281</v>
          </cell>
          <cell r="E30">
            <v>-210138.29</v>
          </cell>
          <cell r="F30">
            <v>303219.27</v>
          </cell>
        </row>
        <row r="31">
          <cell r="A31">
            <v>80130</v>
          </cell>
          <cell r="B31" t="str">
            <v>Cyril Jackson</v>
          </cell>
          <cell r="C31">
            <v>404782.28</v>
          </cell>
          <cell r="D31">
            <v>0</v>
          </cell>
          <cell r="E31">
            <v>-146632.43</v>
          </cell>
          <cell r="F31">
            <v>258149.85000000003</v>
          </cell>
        </row>
        <row r="32">
          <cell r="A32">
            <v>80135</v>
          </cell>
          <cell r="B32" t="str">
            <v>Elizabeth Selby</v>
          </cell>
          <cell r="C32">
            <v>243541.69</v>
          </cell>
          <cell r="D32">
            <v>62.810000000012224</v>
          </cell>
          <cell r="E32">
            <v>-12400</v>
          </cell>
          <cell r="F32">
            <v>231204.5</v>
          </cell>
        </row>
        <row r="33">
          <cell r="A33">
            <v>80140</v>
          </cell>
          <cell r="B33" t="str">
            <v>English Martyrs</v>
          </cell>
          <cell r="C33">
            <v>48967.14</v>
          </cell>
          <cell r="D33">
            <v>-1934.8499999999913</v>
          </cell>
          <cell r="E33">
            <v>-16000</v>
          </cell>
          <cell r="F33">
            <v>31032.290000000008</v>
          </cell>
        </row>
        <row r="34">
          <cell r="A34">
            <v>80525</v>
          </cell>
          <cell r="B34" t="str">
            <v>George Green</v>
          </cell>
          <cell r="C34">
            <v>1375305.26</v>
          </cell>
          <cell r="D34">
            <v>1390.859999999986</v>
          </cell>
          <cell r="E34">
            <v>-44666.43</v>
          </cell>
          <cell r="F34">
            <v>1332029.6900000002</v>
          </cell>
        </row>
        <row r="35">
          <cell r="A35">
            <v>80145</v>
          </cell>
          <cell r="B35" t="str">
            <v>Globe</v>
          </cell>
          <cell r="C35">
            <v>297465.68</v>
          </cell>
          <cell r="D35">
            <v>5.6099999999860302</v>
          </cell>
          <cell r="E35">
            <v>-48703.6</v>
          </cell>
          <cell r="F35">
            <v>248767.68999999997</v>
          </cell>
        </row>
        <row r="36">
          <cell r="A36">
            <v>80150</v>
          </cell>
          <cell r="B36" t="str">
            <v>Guardian Angels</v>
          </cell>
          <cell r="C36">
            <v>94195.73</v>
          </cell>
          <cell r="D36">
            <v>-67.740000000005239</v>
          </cell>
          <cell r="E36">
            <v>0</v>
          </cell>
          <cell r="F36">
            <v>94127.989999999991</v>
          </cell>
        </row>
        <row r="37">
          <cell r="A37">
            <v>80155</v>
          </cell>
          <cell r="B37" t="str">
            <v>Hague</v>
          </cell>
          <cell r="C37">
            <v>279085.65000000002</v>
          </cell>
          <cell r="D37">
            <v>52.789999999993597</v>
          </cell>
          <cell r="E37">
            <v>-12100</v>
          </cell>
          <cell r="F37">
            <v>267038.44</v>
          </cell>
        </row>
        <row r="38">
          <cell r="A38">
            <v>80160</v>
          </cell>
          <cell r="B38" t="str">
            <v>Halley</v>
          </cell>
          <cell r="C38">
            <v>205063.02</v>
          </cell>
          <cell r="D38">
            <v>0</v>
          </cell>
          <cell r="E38">
            <v>-26113</v>
          </cell>
          <cell r="F38">
            <v>178950.02</v>
          </cell>
        </row>
        <row r="39">
          <cell r="A39">
            <v>80165</v>
          </cell>
          <cell r="B39" t="str">
            <v>Harbinger</v>
          </cell>
          <cell r="C39">
            <v>187060.43</v>
          </cell>
          <cell r="D39">
            <v>-98.25</v>
          </cell>
          <cell r="E39">
            <v>-75748.740000000005</v>
          </cell>
          <cell r="F39">
            <v>111213.43999999999</v>
          </cell>
        </row>
        <row r="40">
          <cell r="A40">
            <v>80430</v>
          </cell>
          <cell r="B40" t="str">
            <v>Harry Gosling</v>
          </cell>
          <cell r="C40">
            <v>73209.3</v>
          </cell>
          <cell r="D40">
            <v>1867.8300000000163</v>
          </cell>
          <cell r="E40">
            <v>-9774.0499999999993</v>
          </cell>
          <cell r="F40">
            <v>65303.080000000016</v>
          </cell>
        </row>
        <row r="41">
          <cell r="A41">
            <v>80020</v>
          </cell>
          <cell r="B41" t="str">
            <v>Harry Roberts</v>
          </cell>
          <cell r="C41">
            <v>301434.37</v>
          </cell>
          <cell r="D41">
            <v>-3021.0600000000049</v>
          </cell>
          <cell r="E41">
            <v>4455.67</v>
          </cell>
          <cell r="F41">
            <v>302868.98</v>
          </cell>
        </row>
        <row r="42">
          <cell r="A42">
            <v>80180</v>
          </cell>
          <cell r="B42" t="str">
            <v>Hermitage</v>
          </cell>
          <cell r="C42">
            <v>184514.39</v>
          </cell>
          <cell r="D42">
            <v>0</v>
          </cell>
          <cell r="E42">
            <v>-34715.769999999997</v>
          </cell>
          <cell r="F42">
            <v>149798.62000000002</v>
          </cell>
        </row>
        <row r="43">
          <cell r="A43">
            <v>80185</v>
          </cell>
          <cell r="B43" t="str">
            <v>Holy Family</v>
          </cell>
          <cell r="C43">
            <v>55204.7</v>
          </cell>
          <cell r="D43">
            <v>0</v>
          </cell>
          <cell r="E43">
            <v>-19083.52</v>
          </cell>
          <cell r="F43">
            <v>36121.179999999993</v>
          </cell>
        </row>
        <row r="44">
          <cell r="A44">
            <v>80645</v>
          </cell>
          <cell r="B44" t="str">
            <v>Ian Mikardo</v>
          </cell>
          <cell r="C44">
            <v>-4335.08</v>
          </cell>
          <cell r="D44">
            <v>-87091.26</v>
          </cell>
          <cell r="E44">
            <v>-82249.919999999998</v>
          </cell>
          <cell r="F44">
            <v>-173676.26</v>
          </cell>
        </row>
        <row r="45">
          <cell r="A45">
            <v>80190</v>
          </cell>
          <cell r="B45" t="str">
            <v>John Scurr</v>
          </cell>
          <cell r="C45">
            <v>247637.38</v>
          </cell>
          <cell r="D45">
            <v>0</v>
          </cell>
          <cell r="E45">
            <v>-36429</v>
          </cell>
          <cell r="F45">
            <v>211208.38</v>
          </cell>
        </row>
        <row r="46">
          <cell r="A46">
            <v>80345</v>
          </cell>
          <cell r="B46" t="str">
            <v>Kobi Nazrul</v>
          </cell>
          <cell r="C46">
            <v>160511.92000000001</v>
          </cell>
          <cell r="D46">
            <v>-1415.2799999999988</v>
          </cell>
          <cell r="E46">
            <v>-53576.62</v>
          </cell>
          <cell r="F46">
            <v>105520.02000000002</v>
          </cell>
        </row>
        <row r="47">
          <cell r="A47">
            <v>80530</v>
          </cell>
          <cell r="B47" t="str">
            <v>Langdon Park</v>
          </cell>
          <cell r="C47">
            <v>2367123.14</v>
          </cell>
          <cell r="D47">
            <v>0</v>
          </cell>
          <cell r="E47">
            <v>-1157307</v>
          </cell>
          <cell r="F47">
            <v>1209816.1400000001</v>
          </cell>
        </row>
        <row r="48">
          <cell r="A48">
            <v>80450</v>
          </cell>
          <cell r="B48" t="str">
            <v>Lansbury Lawrence</v>
          </cell>
          <cell r="C48">
            <v>183632.59</v>
          </cell>
          <cell r="D48">
            <v>0</v>
          </cell>
          <cell r="E48">
            <v>-19500</v>
          </cell>
          <cell r="F48">
            <v>164132.59</v>
          </cell>
        </row>
        <row r="49">
          <cell r="A49">
            <v>80195</v>
          </cell>
          <cell r="B49" t="str">
            <v>Lawdale</v>
          </cell>
          <cell r="C49">
            <v>27141.200000000001</v>
          </cell>
          <cell r="D49">
            <v>-766.63999999999942</v>
          </cell>
          <cell r="E49">
            <v>-12000</v>
          </cell>
          <cell r="F49">
            <v>14374.560000000001</v>
          </cell>
        </row>
        <row r="50">
          <cell r="A50">
            <v>80455</v>
          </cell>
          <cell r="B50" t="str">
            <v>Malmesbury</v>
          </cell>
          <cell r="C50">
            <v>211439.81</v>
          </cell>
          <cell r="D50">
            <v>68.440000000002328</v>
          </cell>
          <cell r="E50">
            <v>-19000</v>
          </cell>
          <cell r="F50">
            <v>192508.25</v>
          </cell>
        </row>
        <row r="51">
          <cell r="A51">
            <v>80210</v>
          </cell>
          <cell r="B51" t="str">
            <v>Manorfield</v>
          </cell>
          <cell r="C51">
            <v>167197.51999999999</v>
          </cell>
          <cell r="D51">
            <v>0</v>
          </cell>
          <cell r="E51">
            <v>-29433.33</v>
          </cell>
          <cell r="F51">
            <v>137764.19</v>
          </cell>
        </row>
        <row r="52">
          <cell r="A52">
            <v>80215</v>
          </cell>
          <cell r="B52" t="str">
            <v>Marion Richardson</v>
          </cell>
          <cell r="C52">
            <v>260883.34</v>
          </cell>
          <cell r="D52">
            <v>0</v>
          </cell>
          <cell r="E52">
            <v>-167113.89000000001</v>
          </cell>
          <cell r="F52">
            <v>93769.449999999983</v>
          </cell>
        </row>
        <row r="53">
          <cell r="A53">
            <v>80220</v>
          </cell>
          <cell r="B53" t="str">
            <v>Marner</v>
          </cell>
          <cell r="C53">
            <v>374804.67</v>
          </cell>
          <cell r="D53">
            <v>0</v>
          </cell>
          <cell r="E53">
            <v>-23752.42</v>
          </cell>
          <cell r="F53">
            <v>351052.25</v>
          </cell>
        </row>
        <row r="54">
          <cell r="A54">
            <v>80225</v>
          </cell>
          <cell r="B54" t="str">
            <v>Mayflower</v>
          </cell>
          <cell r="C54">
            <v>189298</v>
          </cell>
          <cell r="D54">
            <v>0</v>
          </cell>
          <cell r="E54">
            <v>-24500</v>
          </cell>
          <cell r="F54">
            <v>164798</v>
          </cell>
        </row>
        <row r="55">
          <cell r="A55">
            <v>80535</v>
          </cell>
          <cell r="B55" t="str">
            <v>Morpeth</v>
          </cell>
          <cell r="C55">
            <v>809361.16</v>
          </cell>
          <cell r="D55">
            <v>0</v>
          </cell>
          <cell r="E55">
            <v>0</v>
          </cell>
          <cell r="F55">
            <v>809361.16</v>
          </cell>
        </row>
        <row r="56">
          <cell r="A56">
            <v>80230</v>
          </cell>
          <cell r="B56" t="str">
            <v>Mowlem</v>
          </cell>
          <cell r="C56">
            <v>150420.76999999999</v>
          </cell>
          <cell r="D56">
            <v>0</v>
          </cell>
          <cell r="E56">
            <v>-11401.18</v>
          </cell>
          <cell r="F56">
            <v>139019.59</v>
          </cell>
        </row>
        <row r="57">
          <cell r="A57">
            <v>80540</v>
          </cell>
          <cell r="B57" t="str">
            <v>Mulberry</v>
          </cell>
          <cell r="C57">
            <v>4225344.55</v>
          </cell>
          <cell r="D57">
            <v>0</v>
          </cell>
          <cell r="E57">
            <v>-592525.73</v>
          </cell>
          <cell r="F57">
            <v>3632818.82</v>
          </cell>
        </row>
        <row r="58">
          <cell r="A58">
            <v>80545</v>
          </cell>
          <cell r="B58" t="str">
            <v>Oaklands</v>
          </cell>
          <cell r="C58">
            <v>69770.94</v>
          </cell>
          <cell r="D58">
            <v>135.22999999998137</v>
          </cell>
          <cell r="E58">
            <v>35441.74</v>
          </cell>
          <cell r="F58">
            <v>105347.90999999997</v>
          </cell>
        </row>
        <row r="59">
          <cell r="A59">
            <v>80025</v>
          </cell>
          <cell r="B59" t="str">
            <v>Old Church</v>
          </cell>
          <cell r="C59">
            <v>225346.01</v>
          </cell>
          <cell r="D59">
            <v>-2.8600000000005821</v>
          </cell>
          <cell r="E59">
            <v>-15967</v>
          </cell>
          <cell r="F59">
            <v>209376.15000000002</v>
          </cell>
        </row>
        <row r="60">
          <cell r="A60">
            <v>80435</v>
          </cell>
          <cell r="B60" t="str">
            <v>Old Ford</v>
          </cell>
          <cell r="C60">
            <v>714480.13</v>
          </cell>
          <cell r="D60">
            <v>238.60000000003492</v>
          </cell>
          <cell r="E60">
            <v>-401365.17</v>
          </cell>
          <cell r="F60">
            <v>313353.56</v>
          </cell>
        </row>
        <row r="61">
          <cell r="A61">
            <v>80245</v>
          </cell>
          <cell r="B61" t="str">
            <v>Old Palace</v>
          </cell>
          <cell r="C61">
            <v>379280.81</v>
          </cell>
          <cell r="D61">
            <v>0</v>
          </cell>
          <cell r="E61">
            <v>0</v>
          </cell>
          <cell r="F61">
            <v>379280.81</v>
          </cell>
        </row>
        <row r="62">
          <cell r="A62">
            <v>80250</v>
          </cell>
          <cell r="B62" t="str">
            <v>Olga</v>
          </cell>
          <cell r="C62">
            <v>188275</v>
          </cell>
          <cell r="D62">
            <v>0</v>
          </cell>
          <cell r="E62">
            <v>-86000</v>
          </cell>
          <cell r="F62">
            <v>102275</v>
          </cell>
        </row>
        <row r="63">
          <cell r="A63">
            <v>80255</v>
          </cell>
          <cell r="B63" t="str">
            <v>Osmani</v>
          </cell>
          <cell r="C63">
            <v>370421.07</v>
          </cell>
          <cell r="D63">
            <v>156.34000000002561</v>
          </cell>
          <cell r="E63">
            <v>-37750</v>
          </cell>
          <cell r="F63">
            <v>332827.41000000003</v>
          </cell>
        </row>
        <row r="64">
          <cell r="A64">
            <v>80260</v>
          </cell>
          <cell r="B64" t="str">
            <v>Our Lady</v>
          </cell>
          <cell r="C64">
            <v>32397.35</v>
          </cell>
          <cell r="D64">
            <v>-2003.4599999999991</v>
          </cell>
          <cell r="E64">
            <v>-11630.81</v>
          </cell>
          <cell r="F64">
            <v>18763.080000000002</v>
          </cell>
        </row>
        <row r="65">
          <cell r="A65">
            <v>80625</v>
          </cell>
          <cell r="B65" t="str">
            <v>Phoenix</v>
          </cell>
          <cell r="C65">
            <v>598985.74</v>
          </cell>
          <cell r="D65">
            <v>0</v>
          </cell>
          <cell r="E65">
            <v>-172839.45</v>
          </cell>
          <cell r="F65">
            <v>426146.29</v>
          </cell>
        </row>
        <row r="66">
          <cell r="A66">
            <v>80030</v>
          </cell>
          <cell r="B66" t="str">
            <v>Rachel Keeling</v>
          </cell>
          <cell r="C66">
            <v>175115.68</v>
          </cell>
          <cell r="D66">
            <v>-856.69000000000233</v>
          </cell>
          <cell r="E66">
            <v>-8188.75</v>
          </cell>
          <cell r="F66">
            <v>166070.24</v>
          </cell>
        </row>
        <row r="67">
          <cell r="A67">
            <v>80570</v>
          </cell>
          <cell r="B67" t="str">
            <v>Raines</v>
          </cell>
          <cell r="C67">
            <v>47703</v>
          </cell>
          <cell r="D67">
            <v>0</v>
          </cell>
          <cell r="E67">
            <v>-68979</v>
          </cell>
          <cell r="F67">
            <v>-21276</v>
          </cell>
        </row>
        <row r="68">
          <cell r="A68">
            <v>80270</v>
          </cell>
          <cell r="B68" t="str">
            <v>Redlands</v>
          </cell>
          <cell r="C68">
            <v>561296.71</v>
          </cell>
          <cell r="D68">
            <v>53.019999999989523</v>
          </cell>
          <cell r="E68">
            <v>-61020.39</v>
          </cell>
          <cell r="F68">
            <v>500329.33999999997</v>
          </cell>
        </row>
        <row r="69">
          <cell r="A69">
            <v>80350</v>
          </cell>
          <cell r="B69" t="str">
            <v>Seven Mills</v>
          </cell>
          <cell r="C69">
            <v>192601.67</v>
          </cell>
          <cell r="D69">
            <v>56.889999999999418</v>
          </cell>
          <cell r="E69">
            <v>9517.67</v>
          </cell>
          <cell r="F69">
            <v>202176.23</v>
          </cell>
        </row>
        <row r="70">
          <cell r="A70">
            <v>80355</v>
          </cell>
          <cell r="B70" t="str">
            <v>Shapla</v>
          </cell>
          <cell r="C70">
            <v>112878.32</v>
          </cell>
          <cell r="D70">
            <v>0</v>
          </cell>
          <cell r="E70">
            <v>17700</v>
          </cell>
          <cell r="F70">
            <v>130578.32</v>
          </cell>
        </row>
        <row r="71">
          <cell r="A71">
            <v>80555</v>
          </cell>
          <cell r="B71" t="str">
            <v>Sir John Cass</v>
          </cell>
          <cell r="C71">
            <v>1262110.3400000001</v>
          </cell>
          <cell r="D71">
            <v>6931.1400000001304</v>
          </cell>
          <cell r="E71">
            <v>-453417.42</v>
          </cell>
          <cell r="F71">
            <v>815624.06000000029</v>
          </cell>
        </row>
        <row r="72">
          <cell r="A72">
            <v>80360</v>
          </cell>
          <cell r="B72" t="str">
            <v>Sir William Burrough</v>
          </cell>
          <cell r="C72">
            <v>3733.03</v>
          </cell>
          <cell r="D72">
            <v>0</v>
          </cell>
          <cell r="E72">
            <v>-5785.33</v>
          </cell>
          <cell r="F72">
            <v>-2052.2999999999997</v>
          </cell>
        </row>
        <row r="73">
          <cell r="A73">
            <v>80365</v>
          </cell>
          <cell r="B73" t="str">
            <v>Smithy Street</v>
          </cell>
          <cell r="C73">
            <v>76264.11</v>
          </cell>
          <cell r="D73">
            <v>0</v>
          </cell>
          <cell r="E73">
            <v>4792.59</v>
          </cell>
          <cell r="F73">
            <v>81056.7</v>
          </cell>
        </row>
        <row r="74">
          <cell r="A74">
            <v>80275</v>
          </cell>
          <cell r="B74" t="str">
            <v>St Agnes</v>
          </cell>
          <cell r="C74">
            <v>180361.45</v>
          </cell>
          <cell r="D74">
            <v>0</v>
          </cell>
          <cell r="E74">
            <v>-9216</v>
          </cell>
          <cell r="F74">
            <v>171145.45</v>
          </cell>
        </row>
        <row r="75">
          <cell r="A75">
            <v>80280</v>
          </cell>
          <cell r="B75" t="str">
            <v>St Anne</v>
          </cell>
          <cell r="C75">
            <v>85826.71</v>
          </cell>
          <cell r="D75">
            <v>0</v>
          </cell>
          <cell r="E75">
            <v>-8779</v>
          </cell>
          <cell r="F75">
            <v>77047.710000000006</v>
          </cell>
        </row>
        <row r="76">
          <cell r="A76">
            <v>80285</v>
          </cell>
          <cell r="B76" t="str">
            <v>St Edmund</v>
          </cell>
          <cell r="C76">
            <v>48146.8</v>
          </cell>
          <cell r="D76">
            <v>-0.11000000000058208</v>
          </cell>
          <cell r="E76">
            <v>-7363.27</v>
          </cell>
          <cell r="F76">
            <v>40783.42</v>
          </cell>
        </row>
        <row r="77">
          <cell r="A77">
            <v>80445</v>
          </cell>
          <cell r="B77" t="str">
            <v>St Elizabeth</v>
          </cell>
          <cell r="C77">
            <v>177785.11</v>
          </cell>
          <cell r="D77">
            <v>-740.14999999997963</v>
          </cell>
          <cell r="E77">
            <v>-30080</v>
          </cell>
          <cell r="F77">
            <v>146964.96000000002</v>
          </cell>
        </row>
        <row r="78">
          <cell r="A78">
            <v>80295</v>
          </cell>
          <cell r="B78" t="str">
            <v>St Johns</v>
          </cell>
          <cell r="C78">
            <v>374318.63</v>
          </cell>
          <cell r="D78">
            <v>8.0299999999988358</v>
          </cell>
          <cell r="E78">
            <v>-32776.21</v>
          </cell>
          <cell r="F78">
            <v>341550.45</v>
          </cell>
        </row>
        <row r="79">
          <cell r="A79">
            <v>80300</v>
          </cell>
          <cell r="B79" t="str">
            <v>St Lukes</v>
          </cell>
          <cell r="C79">
            <v>-6917.77</v>
          </cell>
          <cell r="D79">
            <v>0</v>
          </cell>
          <cell r="E79">
            <v>6737.02</v>
          </cell>
          <cell r="F79">
            <v>-180.75</v>
          </cell>
        </row>
        <row r="80">
          <cell r="A80">
            <v>80440</v>
          </cell>
          <cell r="B80" t="str">
            <v>St Mary and St Michael</v>
          </cell>
          <cell r="C80">
            <v>80826.31</v>
          </cell>
          <cell r="D80">
            <v>0</v>
          </cell>
          <cell r="E80">
            <v>8700.6699999999983</v>
          </cell>
          <cell r="F80">
            <v>89526.98</v>
          </cell>
        </row>
        <row r="81">
          <cell r="A81">
            <v>80315</v>
          </cell>
          <cell r="B81" t="str">
            <v>St Matthias</v>
          </cell>
          <cell r="C81">
            <v>-8488.23</v>
          </cell>
          <cell r="D81">
            <v>11.089999999996508</v>
          </cell>
          <cell r="E81">
            <v>-6627.95</v>
          </cell>
          <cell r="F81">
            <v>-15105.090000000004</v>
          </cell>
        </row>
        <row r="82">
          <cell r="A82">
            <v>80330</v>
          </cell>
          <cell r="B82" t="str">
            <v>St Paul with St Luke</v>
          </cell>
          <cell r="C82">
            <v>118588.78</v>
          </cell>
          <cell r="D82">
            <v>0</v>
          </cell>
          <cell r="E82">
            <v>-20641.32</v>
          </cell>
          <cell r="F82">
            <v>97947.459999999992</v>
          </cell>
        </row>
        <row r="83">
          <cell r="A83">
            <v>80550</v>
          </cell>
          <cell r="B83" t="str">
            <v>St Pauls Way</v>
          </cell>
          <cell r="C83">
            <v>13670.26</v>
          </cell>
          <cell r="D83">
            <v>24823.099999999977</v>
          </cell>
          <cell r="E83">
            <v>-70295.5</v>
          </cell>
          <cell r="F83">
            <v>-31802.140000000021</v>
          </cell>
        </row>
        <row r="84">
          <cell r="A84">
            <v>80325</v>
          </cell>
          <cell r="B84" t="str">
            <v>St Pauls Whitechapel</v>
          </cell>
          <cell r="C84">
            <v>36317.050000000003</v>
          </cell>
          <cell r="D84">
            <v>46.05000000000291</v>
          </cell>
          <cell r="E84">
            <v>8689</v>
          </cell>
          <cell r="F84">
            <v>45052.100000000006</v>
          </cell>
        </row>
        <row r="85">
          <cell r="A85">
            <v>80335</v>
          </cell>
          <cell r="B85" t="str">
            <v>St Peters</v>
          </cell>
          <cell r="C85">
            <v>110303.94</v>
          </cell>
          <cell r="D85">
            <v>0</v>
          </cell>
          <cell r="E85">
            <v>-20151.18</v>
          </cell>
          <cell r="F85">
            <v>90152.760000000009</v>
          </cell>
        </row>
        <row r="86">
          <cell r="A86">
            <v>80340</v>
          </cell>
          <cell r="B86" t="str">
            <v>St Saviours</v>
          </cell>
          <cell r="C86">
            <v>66860.539999999994</v>
          </cell>
          <cell r="D86">
            <v>55.469999999986612</v>
          </cell>
          <cell r="E86">
            <v>-3500</v>
          </cell>
          <cell r="F86">
            <v>63416.00999999998</v>
          </cell>
        </row>
        <row r="87">
          <cell r="A87">
            <v>80370</v>
          </cell>
          <cell r="B87" t="str">
            <v>Stebon</v>
          </cell>
          <cell r="C87">
            <v>404416.28</v>
          </cell>
          <cell r="D87">
            <v>0</v>
          </cell>
          <cell r="E87">
            <v>-191638.51</v>
          </cell>
          <cell r="F87">
            <v>212777.77000000002</v>
          </cell>
        </row>
        <row r="88">
          <cell r="A88">
            <v>80640</v>
          </cell>
          <cell r="B88" t="str">
            <v>Stephen Hawkings</v>
          </cell>
          <cell r="C88">
            <v>1003437.89</v>
          </cell>
          <cell r="D88">
            <v>0</v>
          </cell>
          <cell r="E88">
            <v>4717.0599999999995</v>
          </cell>
          <cell r="F88">
            <v>1008154.9500000001</v>
          </cell>
        </row>
        <row r="89">
          <cell r="A89">
            <v>80560</v>
          </cell>
          <cell r="B89" t="str">
            <v>Stepney Green</v>
          </cell>
          <cell r="C89">
            <v>1426098.56</v>
          </cell>
          <cell r="D89">
            <v>-772.44000000000233</v>
          </cell>
          <cell r="E89">
            <v>0</v>
          </cell>
          <cell r="F89">
            <v>1425326.12</v>
          </cell>
        </row>
        <row r="90">
          <cell r="A90">
            <v>80375</v>
          </cell>
          <cell r="B90" t="str">
            <v>Stepney Greencoat</v>
          </cell>
          <cell r="C90">
            <v>42944.87</v>
          </cell>
          <cell r="D90">
            <v>0</v>
          </cell>
          <cell r="E90">
            <v>-17625.22</v>
          </cell>
          <cell r="F90">
            <v>25319.65</v>
          </cell>
        </row>
        <row r="91">
          <cell r="A91">
            <v>80380</v>
          </cell>
          <cell r="B91" t="str">
            <v>Stewart Headlam</v>
          </cell>
          <cell r="C91">
            <v>194229.79</v>
          </cell>
          <cell r="D91">
            <v>0</v>
          </cell>
          <cell r="E91">
            <v>-695.34999999999854</v>
          </cell>
          <cell r="F91">
            <v>193534.44</v>
          </cell>
        </row>
        <row r="92">
          <cell r="A92">
            <v>80565</v>
          </cell>
          <cell r="B92" t="str">
            <v>Swanlea</v>
          </cell>
          <cell r="C92">
            <v>1615547.88</v>
          </cell>
          <cell r="D92">
            <v>14.229999999864958</v>
          </cell>
          <cell r="E92">
            <v>0</v>
          </cell>
          <cell r="F92">
            <v>1615562.1099999999</v>
          </cell>
        </row>
        <row r="93">
          <cell r="A93">
            <v>80395</v>
          </cell>
          <cell r="B93" t="str">
            <v>Thomas Buxton Infants</v>
          </cell>
          <cell r="C93">
            <v>49204.59</v>
          </cell>
          <cell r="D93">
            <v>0</v>
          </cell>
          <cell r="E93">
            <v>-12446.62</v>
          </cell>
          <cell r="F93">
            <v>36757.969999999994</v>
          </cell>
        </row>
        <row r="94">
          <cell r="A94">
            <v>80400</v>
          </cell>
          <cell r="B94" t="str">
            <v>Thomas Buxton Junior</v>
          </cell>
          <cell r="C94">
            <v>165384.19</v>
          </cell>
          <cell r="D94">
            <v>0</v>
          </cell>
          <cell r="E94">
            <v>-30056.870000000003</v>
          </cell>
          <cell r="F94">
            <v>135327.32</v>
          </cell>
        </row>
        <row r="95">
          <cell r="A95">
            <v>80405</v>
          </cell>
          <cell r="B95" t="str">
            <v>Virginia</v>
          </cell>
          <cell r="C95">
            <v>241125.14</v>
          </cell>
          <cell r="D95">
            <v>0</v>
          </cell>
          <cell r="E95">
            <v>-6392.4</v>
          </cell>
          <cell r="F95">
            <v>234732.74000000002</v>
          </cell>
        </row>
        <row r="96">
          <cell r="A96">
            <v>80410</v>
          </cell>
          <cell r="B96" t="str">
            <v>Wellington</v>
          </cell>
          <cell r="C96">
            <v>472109.96</v>
          </cell>
          <cell r="D96">
            <v>-144.38999999999942</v>
          </cell>
          <cell r="E96">
            <v>-11000</v>
          </cell>
          <cell r="F96">
            <v>460965.57</v>
          </cell>
        </row>
        <row r="97">
          <cell r="A97">
            <v>80415</v>
          </cell>
          <cell r="B97" t="str">
            <v>William Davis</v>
          </cell>
          <cell r="C97">
            <v>289643.59000000003</v>
          </cell>
          <cell r="D97">
            <v>196.91999999999825</v>
          </cell>
          <cell r="E97">
            <v>-5000</v>
          </cell>
          <cell r="F97">
            <v>284840.51</v>
          </cell>
        </row>
        <row r="98">
          <cell r="A98">
            <v>80420</v>
          </cell>
          <cell r="B98" t="str">
            <v>Woolmore</v>
          </cell>
          <cell r="C98">
            <v>130850.57</v>
          </cell>
          <cell r="D98">
            <v>-818.18000000000757</v>
          </cell>
          <cell r="E98">
            <v>-22901.279999999999</v>
          </cell>
          <cell r="F98">
            <v>107131.11</v>
          </cell>
        </row>
      </sheetData>
      <sheetData sheetId="12">
        <row r="1">
          <cell r="A1" t="str">
            <v>School Reconciliation to March 2009</v>
          </cell>
        </row>
      </sheetData>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NDR1 Form"/>
      <sheetName val="Validation"/>
      <sheetName val="Supplementary Information"/>
      <sheetName val="Supplementary Validation"/>
      <sheetName val="Parameters"/>
      <sheetName val="DATA"/>
      <sheetName val="TierSplit"/>
    </sheetNames>
    <sheetDataSet>
      <sheetData sheetId="0"/>
      <sheetData sheetId="1"/>
      <sheetData sheetId="2">
        <row r="1">
          <cell r="C1" t="str">
            <v>Barnet</v>
          </cell>
        </row>
      </sheetData>
      <sheetData sheetId="3">
        <row r="25">
          <cell r="H25">
            <v>446</v>
          </cell>
        </row>
      </sheetData>
      <sheetData sheetId="4"/>
      <sheetData sheetId="5"/>
      <sheetData sheetId="6">
        <row r="8">
          <cell r="A8">
            <v>1</v>
          </cell>
          <cell r="B8" t="str">
            <v>Adur</v>
          </cell>
          <cell r="C8" t="str">
            <v>E3831</v>
          </cell>
          <cell r="D8">
            <v>884412.32</v>
          </cell>
          <cell r="E8">
            <v>75562.67</v>
          </cell>
          <cell r="F8">
            <v>0</v>
          </cell>
          <cell r="G8">
            <v>0</v>
          </cell>
          <cell r="H8">
            <v>411691.98</v>
          </cell>
          <cell r="I8">
            <v>8320.8799999999992</v>
          </cell>
          <cell r="J8">
            <v>7938</v>
          </cell>
          <cell r="K8">
            <v>614.01</v>
          </cell>
          <cell r="L8">
            <v>0</v>
          </cell>
          <cell r="M8">
            <v>0</v>
          </cell>
          <cell r="N8">
            <v>273959.19</v>
          </cell>
          <cell r="O8">
            <v>976882.2</v>
          </cell>
          <cell r="P8">
            <v>0.9</v>
          </cell>
          <cell r="Q8">
            <v>1</v>
          </cell>
          <cell r="S8">
            <v>2076</v>
          </cell>
          <cell r="T8">
            <v>39039272</v>
          </cell>
          <cell r="U8">
            <v>154906.10999999999</v>
          </cell>
          <cell r="X8">
            <v>66</v>
          </cell>
          <cell r="Y8">
            <v>11</v>
          </cell>
          <cell r="Z8">
            <v>0</v>
          </cell>
          <cell r="AA8">
            <v>0</v>
          </cell>
          <cell r="AB8">
            <v>122</v>
          </cell>
          <cell r="AC8">
            <v>25</v>
          </cell>
          <cell r="AD8">
            <v>5</v>
          </cell>
          <cell r="AE8">
            <v>1</v>
          </cell>
          <cell r="AF8">
            <v>0</v>
          </cell>
          <cell r="AG8">
            <v>0</v>
          </cell>
          <cell r="AH8">
            <v>0</v>
          </cell>
          <cell r="AI8">
            <v>1200</v>
          </cell>
          <cell r="AJ8">
            <v>816</v>
          </cell>
          <cell r="AK8">
            <v>618</v>
          </cell>
          <cell r="AL8">
            <v>198</v>
          </cell>
          <cell r="AM8">
            <v>52</v>
          </cell>
        </row>
        <row r="9">
          <cell r="A9">
            <v>2</v>
          </cell>
          <cell r="B9" t="str">
            <v>Allerdale</v>
          </cell>
          <cell r="C9" t="str">
            <v>E0931</v>
          </cell>
          <cell r="D9">
            <v>1331631.1599999999</v>
          </cell>
          <cell r="E9">
            <v>48108.32</v>
          </cell>
          <cell r="F9">
            <v>38098.160000000003</v>
          </cell>
          <cell r="G9">
            <v>0</v>
          </cell>
          <cell r="H9">
            <v>927746</v>
          </cell>
          <cell r="I9">
            <v>28592.39</v>
          </cell>
          <cell r="J9">
            <v>81594.34</v>
          </cell>
          <cell r="K9">
            <v>286.25</v>
          </cell>
          <cell r="L9">
            <v>1482.87</v>
          </cell>
          <cell r="M9">
            <v>0</v>
          </cell>
          <cell r="N9">
            <v>428474.66</v>
          </cell>
          <cell r="O9">
            <v>2513459.2999999998</v>
          </cell>
          <cell r="P9">
            <v>0.9</v>
          </cell>
          <cell r="Q9">
            <v>1</v>
          </cell>
          <cell r="S9">
            <v>4618</v>
          </cell>
          <cell r="T9">
            <v>69906505</v>
          </cell>
          <cell r="U9">
            <v>248192.61</v>
          </cell>
          <cell r="X9">
            <v>264</v>
          </cell>
          <cell r="Y9">
            <v>8</v>
          </cell>
          <cell r="Z9">
            <v>42</v>
          </cell>
          <cell r="AA9">
            <v>0</v>
          </cell>
          <cell r="AB9">
            <v>530</v>
          </cell>
          <cell r="AC9">
            <v>126</v>
          </cell>
          <cell r="AD9">
            <v>51</v>
          </cell>
          <cell r="AE9">
            <v>1</v>
          </cell>
          <cell r="AF9">
            <v>3</v>
          </cell>
          <cell r="AG9">
            <v>0</v>
          </cell>
          <cell r="AH9">
            <v>0</v>
          </cell>
          <cell r="AI9">
            <v>2815</v>
          </cell>
          <cell r="AJ9">
            <v>1697</v>
          </cell>
          <cell r="AK9">
            <v>1349</v>
          </cell>
          <cell r="AL9">
            <v>348</v>
          </cell>
          <cell r="AM9">
            <v>64</v>
          </cell>
        </row>
        <row r="10">
          <cell r="A10">
            <v>3</v>
          </cell>
          <cell r="B10" t="str">
            <v>Amber Valley</v>
          </cell>
          <cell r="C10" t="str">
            <v>E1031</v>
          </cell>
          <cell r="D10">
            <v>1475727</v>
          </cell>
          <cell r="E10">
            <v>38665</v>
          </cell>
          <cell r="F10">
            <v>18220</v>
          </cell>
          <cell r="G10">
            <v>75100</v>
          </cell>
          <cell r="H10">
            <v>999823</v>
          </cell>
          <cell r="I10">
            <v>15234</v>
          </cell>
          <cell r="J10">
            <v>29972</v>
          </cell>
          <cell r="K10">
            <v>0</v>
          </cell>
          <cell r="L10">
            <v>13633</v>
          </cell>
          <cell r="M10">
            <v>1492</v>
          </cell>
          <cell r="N10">
            <v>524871</v>
          </cell>
          <cell r="O10">
            <v>2249120</v>
          </cell>
          <cell r="P10">
            <v>0.9</v>
          </cell>
          <cell r="Q10">
            <v>1</v>
          </cell>
          <cell r="S10">
            <v>3731</v>
          </cell>
          <cell r="T10">
            <v>78261055</v>
          </cell>
          <cell r="U10">
            <v>296273.84999999998</v>
          </cell>
          <cell r="X10">
            <v>179</v>
          </cell>
          <cell r="Y10">
            <v>2</v>
          </cell>
          <cell r="Z10">
            <v>23</v>
          </cell>
          <cell r="AA10">
            <v>3</v>
          </cell>
          <cell r="AB10">
            <v>564</v>
          </cell>
          <cell r="AC10">
            <v>76</v>
          </cell>
          <cell r="AD10">
            <v>18</v>
          </cell>
          <cell r="AE10">
            <v>0</v>
          </cell>
          <cell r="AF10">
            <v>19</v>
          </cell>
          <cell r="AG10">
            <v>2</v>
          </cell>
          <cell r="AH10">
            <v>0</v>
          </cell>
          <cell r="AI10">
            <v>1373</v>
          </cell>
          <cell r="AJ10">
            <v>1404</v>
          </cell>
          <cell r="AK10">
            <v>1002</v>
          </cell>
          <cell r="AL10">
            <v>402</v>
          </cell>
          <cell r="AM10">
            <v>922</v>
          </cell>
        </row>
        <row r="11">
          <cell r="A11">
            <v>4</v>
          </cell>
          <cell r="B11" t="str">
            <v>Arun</v>
          </cell>
          <cell r="C11" t="str">
            <v>E3832</v>
          </cell>
          <cell r="D11">
            <v>1597024.98</v>
          </cell>
          <cell r="E11">
            <v>78146.679999999993</v>
          </cell>
          <cell r="F11">
            <v>9366.1</v>
          </cell>
          <cell r="G11">
            <v>0</v>
          </cell>
          <cell r="H11">
            <v>1296697.01</v>
          </cell>
          <cell r="I11">
            <v>22435.66</v>
          </cell>
          <cell r="J11">
            <v>10033.08</v>
          </cell>
          <cell r="K11">
            <v>501.93</v>
          </cell>
          <cell r="L11">
            <v>4282.59</v>
          </cell>
          <cell r="M11">
            <v>0</v>
          </cell>
          <cell r="N11">
            <v>493209.29</v>
          </cell>
          <cell r="O11">
            <v>2623044.4500000002</v>
          </cell>
          <cell r="P11">
            <v>0.9</v>
          </cell>
          <cell r="Q11">
            <v>1</v>
          </cell>
          <cell r="S11">
            <v>4265</v>
          </cell>
          <cell r="T11">
            <v>78392023</v>
          </cell>
          <cell r="U11">
            <v>288579.73</v>
          </cell>
          <cell r="X11">
            <v>239</v>
          </cell>
          <cell r="Y11">
            <v>24</v>
          </cell>
          <cell r="Z11">
            <v>7</v>
          </cell>
          <cell r="AA11">
            <v>0</v>
          </cell>
          <cell r="AB11">
            <v>397</v>
          </cell>
          <cell r="AC11">
            <v>84</v>
          </cell>
          <cell r="AD11">
            <v>5</v>
          </cell>
          <cell r="AE11">
            <v>11</v>
          </cell>
          <cell r="AF11">
            <v>6</v>
          </cell>
          <cell r="AG11">
            <v>0</v>
          </cell>
          <cell r="AH11">
            <v>0</v>
          </cell>
          <cell r="AI11">
            <v>2570</v>
          </cell>
          <cell r="AJ11">
            <v>1562</v>
          </cell>
          <cell r="AK11">
            <v>1074</v>
          </cell>
          <cell r="AL11">
            <v>488</v>
          </cell>
          <cell r="AM11">
            <v>109</v>
          </cell>
        </row>
        <row r="12">
          <cell r="A12">
            <v>5</v>
          </cell>
          <cell r="B12" t="str">
            <v>Ashfield</v>
          </cell>
          <cell r="C12" t="str">
            <v>E3031</v>
          </cell>
          <cell r="D12">
            <v>727554.52</v>
          </cell>
          <cell r="E12">
            <v>2125.12</v>
          </cell>
          <cell r="F12">
            <v>14667.46</v>
          </cell>
          <cell r="G12">
            <v>0</v>
          </cell>
          <cell r="H12">
            <v>538011.15</v>
          </cell>
          <cell r="I12">
            <v>21055.84</v>
          </cell>
          <cell r="J12">
            <v>381914.43</v>
          </cell>
          <cell r="K12">
            <v>0</v>
          </cell>
          <cell r="L12">
            <v>7350.89</v>
          </cell>
          <cell r="M12">
            <v>3076.08</v>
          </cell>
          <cell r="N12">
            <v>527372.96</v>
          </cell>
          <cell r="O12">
            <v>1458498.05</v>
          </cell>
          <cell r="P12">
            <v>0.9</v>
          </cell>
          <cell r="Q12">
            <v>1.0121</v>
          </cell>
          <cell r="S12">
            <v>2916</v>
          </cell>
          <cell r="T12">
            <v>77648272</v>
          </cell>
          <cell r="U12">
            <v>307028.58</v>
          </cell>
          <cell r="X12">
            <v>89</v>
          </cell>
          <cell r="Y12">
            <v>1</v>
          </cell>
          <cell r="Z12">
            <v>17</v>
          </cell>
          <cell r="AA12">
            <v>0</v>
          </cell>
          <cell r="AB12">
            <v>267</v>
          </cell>
          <cell r="AC12">
            <v>64</v>
          </cell>
          <cell r="AD12">
            <v>14</v>
          </cell>
          <cell r="AE12">
            <v>0</v>
          </cell>
          <cell r="AF12">
            <v>13</v>
          </cell>
          <cell r="AG12">
            <v>6</v>
          </cell>
          <cell r="AH12">
            <v>0</v>
          </cell>
          <cell r="AI12">
            <v>1918</v>
          </cell>
          <cell r="AJ12">
            <v>944</v>
          </cell>
          <cell r="AK12">
            <v>742</v>
          </cell>
          <cell r="AL12">
            <v>202</v>
          </cell>
          <cell r="AM12">
            <v>37</v>
          </cell>
        </row>
        <row r="13">
          <cell r="A13">
            <v>6</v>
          </cell>
          <cell r="B13" t="str">
            <v>Ashford</v>
          </cell>
          <cell r="C13" t="str">
            <v>E2231</v>
          </cell>
          <cell r="D13">
            <v>2373775.1800000002</v>
          </cell>
          <cell r="E13">
            <v>78302.12</v>
          </cell>
          <cell r="F13">
            <v>33880.14</v>
          </cell>
          <cell r="G13">
            <v>143416.14000000001</v>
          </cell>
          <cell r="H13">
            <v>2138317.34</v>
          </cell>
          <cell r="I13">
            <v>42811.25</v>
          </cell>
          <cell r="J13">
            <v>30834.5</v>
          </cell>
          <cell r="K13">
            <v>3298.9</v>
          </cell>
          <cell r="L13">
            <v>11153.69</v>
          </cell>
          <cell r="M13">
            <v>24628.95</v>
          </cell>
          <cell r="N13">
            <v>780670.14</v>
          </cell>
          <cell r="O13">
            <v>1914157.12</v>
          </cell>
          <cell r="P13">
            <v>0.9</v>
          </cell>
          <cell r="Q13">
            <v>1.0067999999999999</v>
          </cell>
          <cell r="S13">
            <v>4063</v>
          </cell>
          <cell r="T13">
            <v>113586666</v>
          </cell>
          <cell r="U13">
            <v>425258.23</v>
          </cell>
          <cell r="X13">
            <v>202</v>
          </cell>
          <cell r="Y13">
            <v>35</v>
          </cell>
          <cell r="Z13">
            <v>38</v>
          </cell>
          <cell r="AA13">
            <v>2</v>
          </cell>
          <cell r="AB13">
            <v>521</v>
          </cell>
          <cell r="AC13">
            <v>138</v>
          </cell>
          <cell r="AD13">
            <v>26</v>
          </cell>
          <cell r="AE13">
            <v>32</v>
          </cell>
          <cell r="AF13">
            <v>16</v>
          </cell>
          <cell r="AG13">
            <v>7</v>
          </cell>
          <cell r="AH13">
            <v>0</v>
          </cell>
          <cell r="AI13">
            <v>2793</v>
          </cell>
          <cell r="AJ13">
            <v>1131</v>
          </cell>
          <cell r="AK13">
            <v>723</v>
          </cell>
          <cell r="AL13">
            <v>408</v>
          </cell>
          <cell r="AM13">
            <v>101</v>
          </cell>
        </row>
        <row r="14">
          <cell r="A14">
            <v>7</v>
          </cell>
          <cell r="B14" t="str">
            <v>Aylesbury Vale</v>
          </cell>
          <cell r="C14" t="str">
            <v>E0431</v>
          </cell>
          <cell r="D14">
            <v>2594291</v>
          </cell>
          <cell r="E14">
            <v>14309</v>
          </cell>
          <cell r="F14">
            <v>52842</v>
          </cell>
          <cell r="G14">
            <v>80000</v>
          </cell>
          <cell r="H14">
            <v>2210382</v>
          </cell>
          <cell r="I14">
            <v>27300</v>
          </cell>
          <cell r="J14">
            <v>321775</v>
          </cell>
          <cell r="K14">
            <v>0</v>
          </cell>
          <cell r="L14">
            <v>0</v>
          </cell>
          <cell r="M14">
            <v>0</v>
          </cell>
          <cell r="N14">
            <v>933801</v>
          </cell>
          <cell r="O14">
            <v>2434849</v>
          </cell>
          <cell r="P14">
            <v>0.9</v>
          </cell>
          <cell r="Q14">
            <v>1.0674999999999999</v>
          </cell>
          <cell r="S14">
            <v>4862</v>
          </cell>
          <cell r="T14">
            <v>125916309</v>
          </cell>
          <cell r="U14">
            <v>473092.51</v>
          </cell>
          <cell r="X14">
            <v>274</v>
          </cell>
          <cell r="Y14">
            <v>10</v>
          </cell>
          <cell r="Z14">
            <v>52</v>
          </cell>
          <cell r="AA14">
            <v>61</v>
          </cell>
          <cell r="AB14">
            <v>477</v>
          </cell>
          <cell r="AC14">
            <v>151</v>
          </cell>
          <cell r="AD14">
            <v>267</v>
          </cell>
          <cell r="AE14">
            <v>0</v>
          </cell>
          <cell r="AF14">
            <v>0</v>
          </cell>
          <cell r="AG14">
            <v>0</v>
          </cell>
          <cell r="AH14">
            <v>0</v>
          </cell>
          <cell r="AI14">
            <v>3308</v>
          </cell>
          <cell r="AJ14">
            <v>1265</v>
          </cell>
          <cell r="AK14">
            <v>736</v>
          </cell>
          <cell r="AL14">
            <v>529</v>
          </cell>
          <cell r="AM14">
            <v>242</v>
          </cell>
        </row>
        <row r="15">
          <cell r="A15">
            <v>8</v>
          </cell>
          <cell r="B15" t="str">
            <v>Babergh</v>
          </cell>
          <cell r="C15" t="str">
            <v>E3531</v>
          </cell>
          <cell r="D15">
            <v>1432935.56</v>
          </cell>
          <cell r="E15">
            <v>50863.69</v>
          </cell>
          <cell r="F15">
            <v>87457.87</v>
          </cell>
          <cell r="G15">
            <v>0</v>
          </cell>
          <cell r="H15">
            <v>962401.35</v>
          </cell>
          <cell r="I15">
            <v>9331.77</v>
          </cell>
          <cell r="J15">
            <v>1470.03</v>
          </cell>
          <cell r="K15">
            <v>1670.79</v>
          </cell>
          <cell r="L15">
            <v>54443.85</v>
          </cell>
          <cell r="M15">
            <v>15804.37</v>
          </cell>
          <cell r="N15">
            <v>414298.82</v>
          </cell>
          <cell r="O15">
            <v>1314206.74</v>
          </cell>
          <cell r="P15">
            <v>0.9</v>
          </cell>
          <cell r="Q15">
            <v>1.0054000000000001</v>
          </cell>
          <cell r="S15">
            <v>3087</v>
          </cell>
          <cell r="T15">
            <v>58320131</v>
          </cell>
          <cell r="U15">
            <v>213828.38</v>
          </cell>
          <cell r="X15">
            <v>181</v>
          </cell>
          <cell r="Y15">
            <v>27</v>
          </cell>
          <cell r="Z15">
            <v>70</v>
          </cell>
          <cell r="AA15">
            <v>0</v>
          </cell>
          <cell r="AB15">
            <v>337</v>
          </cell>
          <cell r="AC15">
            <v>132</v>
          </cell>
          <cell r="AD15">
            <v>2</v>
          </cell>
          <cell r="AE15">
            <v>28</v>
          </cell>
          <cell r="AF15">
            <v>70</v>
          </cell>
          <cell r="AG15">
            <v>6</v>
          </cell>
          <cell r="AH15">
            <v>0</v>
          </cell>
          <cell r="AI15">
            <v>1867</v>
          </cell>
          <cell r="AJ15">
            <v>1109</v>
          </cell>
          <cell r="AK15">
            <v>780</v>
          </cell>
          <cell r="AL15">
            <v>329</v>
          </cell>
          <cell r="AM15">
            <v>100</v>
          </cell>
        </row>
        <row r="16">
          <cell r="A16">
            <v>9</v>
          </cell>
          <cell r="B16" t="str">
            <v>Barking and Dagenham</v>
          </cell>
          <cell r="C16" t="str">
            <v>E5030</v>
          </cell>
          <cell r="D16">
            <v>1715115.54</v>
          </cell>
          <cell r="E16">
            <v>15260.56</v>
          </cell>
          <cell r="F16">
            <v>0</v>
          </cell>
          <cell r="G16">
            <v>0</v>
          </cell>
          <cell r="H16">
            <v>1555008.71</v>
          </cell>
          <cell r="I16">
            <v>52677.98</v>
          </cell>
          <cell r="J16">
            <v>17813.7</v>
          </cell>
          <cell r="K16">
            <v>953.78</v>
          </cell>
          <cell r="L16">
            <v>0</v>
          </cell>
          <cell r="M16">
            <v>0</v>
          </cell>
          <cell r="N16">
            <v>984484.24</v>
          </cell>
          <cell r="O16">
            <v>1908497.28</v>
          </cell>
          <cell r="P16">
            <v>1.5</v>
          </cell>
          <cell r="Q16">
            <v>1.0760000000000001</v>
          </cell>
          <cell r="S16">
            <v>4141</v>
          </cell>
          <cell r="T16">
            <v>146256897</v>
          </cell>
          <cell r="U16">
            <v>836800.53</v>
          </cell>
          <cell r="X16">
            <v>168</v>
          </cell>
          <cell r="Y16">
            <v>2</v>
          </cell>
          <cell r="Z16">
            <v>0</v>
          </cell>
          <cell r="AA16">
            <v>0</v>
          </cell>
          <cell r="AB16">
            <v>446</v>
          </cell>
          <cell r="AC16">
            <v>106</v>
          </cell>
          <cell r="AD16">
            <v>2</v>
          </cell>
          <cell r="AE16">
            <v>2</v>
          </cell>
          <cell r="AF16">
            <v>0</v>
          </cell>
          <cell r="AG16">
            <v>0</v>
          </cell>
          <cell r="AH16">
            <v>0</v>
          </cell>
          <cell r="AI16">
            <v>2889</v>
          </cell>
          <cell r="AJ16">
            <v>989</v>
          </cell>
          <cell r="AK16">
            <v>455</v>
          </cell>
          <cell r="AL16">
            <v>534</v>
          </cell>
          <cell r="AM16">
            <v>241</v>
          </cell>
        </row>
        <row r="17">
          <cell r="A17">
            <v>10</v>
          </cell>
          <cell r="B17" t="str">
            <v>Barnet</v>
          </cell>
          <cell r="C17" t="str">
            <v>E5031</v>
          </cell>
          <cell r="D17">
            <v>8717387.8300000001</v>
          </cell>
          <cell r="E17">
            <v>213556.24</v>
          </cell>
          <cell r="F17">
            <v>0</v>
          </cell>
          <cell r="G17">
            <v>0</v>
          </cell>
          <cell r="H17">
            <v>933840.9</v>
          </cell>
          <cell r="I17">
            <v>167899.27</v>
          </cell>
          <cell r="J17">
            <v>74378.25</v>
          </cell>
          <cell r="K17">
            <v>0</v>
          </cell>
          <cell r="L17">
            <v>0</v>
          </cell>
          <cell r="M17">
            <v>0</v>
          </cell>
          <cell r="N17">
            <v>1809180.08</v>
          </cell>
          <cell r="O17">
            <v>2581262.33</v>
          </cell>
          <cell r="P17">
            <v>1.5</v>
          </cell>
          <cell r="Q17">
            <v>1.1113</v>
          </cell>
          <cell r="S17">
            <v>8193</v>
          </cell>
          <cell r="T17">
            <v>285713313</v>
          </cell>
          <cell r="U17">
            <v>1656152.27</v>
          </cell>
          <cell r="X17">
            <v>429</v>
          </cell>
          <cell r="Y17">
            <v>10</v>
          </cell>
          <cell r="Z17">
            <v>0</v>
          </cell>
          <cell r="AA17">
            <v>0</v>
          </cell>
          <cell r="AB17">
            <v>265</v>
          </cell>
          <cell r="AC17">
            <v>123</v>
          </cell>
          <cell r="AD17">
            <v>31</v>
          </cell>
          <cell r="AE17">
            <v>0</v>
          </cell>
          <cell r="AF17">
            <v>0</v>
          </cell>
          <cell r="AG17">
            <v>0</v>
          </cell>
          <cell r="AH17">
            <v>0</v>
          </cell>
          <cell r="AI17">
            <v>6285</v>
          </cell>
          <cell r="AJ17">
            <v>1467</v>
          </cell>
          <cell r="AK17">
            <v>518</v>
          </cell>
          <cell r="AL17">
            <v>949</v>
          </cell>
          <cell r="AM17">
            <v>491</v>
          </cell>
        </row>
        <row r="18">
          <cell r="A18">
            <v>11</v>
          </cell>
          <cell r="B18" t="str">
            <v>Barnsley</v>
          </cell>
          <cell r="C18" t="str">
            <v>E4401</v>
          </cell>
          <cell r="D18">
            <v>2417728.7599999998</v>
          </cell>
          <cell r="E18">
            <v>51909.72</v>
          </cell>
          <cell r="F18">
            <v>4631.5200000000004</v>
          </cell>
          <cell r="G18">
            <v>0</v>
          </cell>
          <cell r="H18">
            <v>2631812.86</v>
          </cell>
          <cell r="I18">
            <v>59765.22</v>
          </cell>
          <cell r="J18">
            <v>30579.83</v>
          </cell>
          <cell r="K18">
            <v>0</v>
          </cell>
          <cell r="L18">
            <v>468.02</v>
          </cell>
          <cell r="M18">
            <v>0</v>
          </cell>
          <cell r="N18">
            <v>908438.08</v>
          </cell>
          <cell r="O18">
            <v>3793177.21</v>
          </cell>
          <cell r="P18">
            <v>1.7</v>
          </cell>
          <cell r="Q18">
            <v>1</v>
          </cell>
          <cell r="S18">
            <v>6550</v>
          </cell>
          <cell r="T18">
            <v>136219877</v>
          </cell>
          <cell r="U18">
            <v>712507.98</v>
          </cell>
          <cell r="X18">
            <v>274</v>
          </cell>
          <cell r="Y18">
            <v>8</v>
          </cell>
          <cell r="Z18">
            <v>6</v>
          </cell>
          <cell r="AA18">
            <v>0</v>
          </cell>
          <cell r="AB18">
            <v>833</v>
          </cell>
          <cell r="AC18">
            <v>102</v>
          </cell>
          <cell r="AD18">
            <v>12</v>
          </cell>
          <cell r="AE18">
            <v>0</v>
          </cell>
          <cell r="AF18">
            <v>2</v>
          </cell>
          <cell r="AG18">
            <v>0</v>
          </cell>
          <cell r="AH18">
            <v>1</v>
          </cell>
          <cell r="AI18">
            <v>4061</v>
          </cell>
          <cell r="AJ18">
            <v>2363</v>
          </cell>
          <cell r="AK18">
            <v>1786</v>
          </cell>
          <cell r="AL18">
            <v>577</v>
          </cell>
          <cell r="AM18">
            <v>1984</v>
          </cell>
        </row>
        <row r="19">
          <cell r="A19">
            <v>12</v>
          </cell>
          <cell r="B19" t="str">
            <v>Barrow-in-Furness</v>
          </cell>
          <cell r="C19" t="str">
            <v>E0932</v>
          </cell>
          <cell r="D19">
            <v>1010699.17</v>
          </cell>
          <cell r="E19">
            <v>86719.4</v>
          </cell>
          <cell r="F19">
            <v>687</v>
          </cell>
          <cell r="G19">
            <v>8658.64</v>
          </cell>
          <cell r="H19">
            <v>416830.68</v>
          </cell>
          <cell r="I19">
            <v>12753.67</v>
          </cell>
          <cell r="J19">
            <v>63362.38</v>
          </cell>
          <cell r="K19">
            <v>3401.7</v>
          </cell>
          <cell r="L19">
            <v>487.13</v>
          </cell>
          <cell r="M19">
            <v>0</v>
          </cell>
          <cell r="N19">
            <v>402162.44</v>
          </cell>
          <cell r="O19">
            <v>1102662.78</v>
          </cell>
          <cell r="P19">
            <v>0.9</v>
          </cell>
          <cell r="Q19">
            <v>1</v>
          </cell>
          <cell r="S19">
            <v>2312</v>
          </cell>
          <cell r="T19">
            <v>58710671</v>
          </cell>
          <cell r="U19">
            <v>221189.33</v>
          </cell>
          <cell r="X19">
            <v>125</v>
          </cell>
          <cell r="Y19">
            <v>29</v>
          </cell>
          <cell r="Z19">
            <v>1</v>
          </cell>
          <cell r="AA19">
            <v>5</v>
          </cell>
          <cell r="AB19">
            <v>256</v>
          </cell>
          <cell r="AC19">
            <v>67</v>
          </cell>
          <cell r="AD19">
            <v>16</v>
          </cell>
          <cell r="AE19">
            <v>28</v>
          </cell>
          <cell r="AF19">
            <v>1</v>
          </cell>
          <cell r="AG19">
            <v>0</v>
          </cell>
          <cell r="AH19">
            <v>0</v>
          </cell>
          <cell r="AI19">
            <v>1484</v>
          </cell>
          <cell r="AJ19">
            <v>770</v>
          </cell>
          <cell r="AK19">
            <v>611</v>
          </cell>
          <cell r="AL19">
            <v>159</v>
          </cell>
          <cell r="AM19">
            <v>50</v>
          </cell>
        </row>
        <row r="20">
          <cell r="A20">
            <v>13</v>
          </cell>
          <cell r="B20" t="str">
            <v>Basildon</v>
          </cell>
          <cell r="C20" t="str">
            <v>E1531</v>
          </cell>
          <cell r="D20">
            <v>2910626.27</v>
          </cell>
          <cell r="E20">
            <v>29387.06</v>
          </cell>
          <cell r="F20">
            <v>3228.9</v>
          </cell>
          <cell r="G20">
            <v>38419.81</v>
          </cell>
          <cell r="H20">
            <v>2445086</v>
          </cell>
          <cell r="I20">
            <v>1694.32</v>
          </cell>
          <cell r="J20">
            <v>17349.23</v>
          </cell>
          <cell r="K20">
            <v>0</v>
          </cell>
          <cell r="L20">
            <v>0</v>
          </cell>
          <cell r="M20">
            <v>0</v>
          </cell>
          <cell r="N20">
            <v>1370660.65</v>
          </cell>
          <cell r="O20">
            <v>1845096.3</v>
          </cell>
          <cell r="P20">
            <v>0.9</v>
          </cell>
          <cell r="Q20">
            <v>1.0618000000000001</v>
          </cell>
          <cell r="S20">
            <v>4613</v>
          </cell>
          <cell r="T20">
            <v>192758117</v>
          </cell>
          <cell r="U20">
            <v>769526.66</v>
          </cell>
          <cell r="X20">
            <v>192</v>
          </cell>
          <cell r="Y20">
            <v>8</v>
          </cell>
          <cell r="Z20">
            <v>2</v>
          </cell>
          <cell r="AA20">
            <v>2</v>
          </cell>
          <cell r="AB20">
            <v>281</v>
          </cell>
          <cell r="AC20">
            <v>21</v>
          </cell>
          <cell r="AD20">
            <v>11</v>
          </cell>
          <cell r="AE20">
            <v>0</v>
          </cell>
          <cell r="AF20">
            <v>0</v>
          </cell>
          <cell r="AG20">
            <v>0</v>
          </cell>
          <cell r="AH20">
            <v>0</v>
          </cell>
          <cell r="AI20">
            <v>3323</v>
          </cell>
          <cell r="AJ20">
            <v>1054</v>
          </cell>
          <cell r="AK20">
            <v>509</v>
          </cell>
          <cell r="AL20">
            <v>545</v>
          </cell>
          <cell r="AM20">
            <v>245</v>
          </cell>
        </row>
        <row r="21">
          <cell r="A21">
            <v>14</v>
          </cell>
          <cell r="B21" t="str">
            <v>Basingstoke &amp; Deane</v>
          </cell>
          <cell r="C21" t="str">
            <v>E1731</v>
          </cell>
          <cell r="D21">
            <v>2671887.8199999998</v>
          </cell>
          <cell r="E21">
            <v>9012.61</v>
          </cell>
          <cell r="F21">
            <v>35569.480000000003</v>
          </cell>
          <cell r="G21">
            <v>696474.45</v>
          </cell>
          <cell r="H21">
            <v>2055549.63</v>
          </cell>
          <cell r="I21">
            <v>81690.429999999993</v>
          </cell>
          <cell r="J21">
            <v>101546.96</v>
          </cell>
          <cell r="K21">
            <v>563.29</v>
          </cell>
          <cell r="L21">
            <v>72382.039999999994</v>
          </cell>
          <cell r="M21">
            <v>0</v>
          </cell>
          <cell r="N21">
            <v>1302754.79</v>
          </cell>
          <cell r="O21">
            <v>1246459.45</v>
          </cell>
          <cell r="P21">
            <v>0.9</v>
          </cell>
          <cell r="Q21">
            <v>1.036</v>
          </cell>
          <cell r="S21">
            <v>4060</v>
          </cell>
          <cell r="T21">
            <v>179278687</v>
          </cell>
          <cell r="U21">
            <v>703288.69</v>
          </cell>
          <cell r="X21">
            <v>303</v>
          </cell>
          <cell r="Y21">
            <v>5</v>
          </cell>
          <cell r="Z21">
            <v>23</v>
          </cell>
          <cell r="AA21">
            <v>2</v>
          </cell>
          <cell r="AB21">
            <v>333</v>
          </cell>
          <cell r="AC21">
            <v>212</v>
          </cell>
          <cell r="AD21">
            <v>49</v>
          </cell>
          <cell r="AE21">
            <v>5</v>
          </cell>
          <cell r="AF21">
            <v>36</v>
          </cell>
          <cell r="AG21">
            <v>0</v>
          </cell>
          <cell r="AH21">
            <v>0</v>
          </cell>
          <cell r="AI21">
            <v>3189</v>
          </cell>
          <cell r="AJ21">
            <v>719</v>
          </cell>
          <cell r="AK21">
            <v>426</v>
          </cell>
          <cell r="AL21">
            <v>293</v>
          </cell>
          <cell r="AM21">
            <v>138</v>
          </cell>
        </row>
        <row r="22">
          <cell r="A22">
            <v>15</v>
          </cell>
          <cell r="B22" t="str">
            <v>Bassetlaw</v>
          </cell>
          <cell r="C22" t="str">
            <v>E3032</v>
          </cell>
          <cell r="D22">
            <v>1861440</v>
          </cell>
          <cell r="E22">
            <v>4122</v>
          </cell>
          <cell r="F22">
            <v>31863</v>
          </cell>
          <cell r="G22">
            <v>0</v>
          </cell>
          <cell r="H22">
            <v>1235635</v>
          </cell>
          <cell r="I22">
            <v>27576</v>
          </cell>
          <cell r="J22">
            <v>77420</v>
          </cell>
          <cell r="K22">
            <v>258</v>
          </cell>
          <cell r="L22">
            <v>23897</v>
          </cell>
          <cell r="M22">
            <v>2352</v>
          </cell>
          <cell r="N22">
            <v>828385.93</v>
          </cell>
          <cell r="O22">
            <v>1870686.23</v>
          </cell>
          <cell r="P22">
            <v>0.9</v>
          </cell>
          <cell r="Q22">
            <v>1.0121</v>
          </cell>
          <cell r="S22">
            <v>3669</v>
          </cell>
          <cell r="T22">
            <v>116765634</v>
          </cell>
          <cell r="U22">
            <v>396561.63</v>
          </cell>
          <cell r="X22">
            <v>202</v>
          </cell>
          <cell r="Y22">
            <v>1</v>
          </cell>
          <cell r="Z22">
            <v>44</v>
          </cell>
          <cell r="AA22">
            <v>1</v>
          </cell>
          <cell r="AB22">
            <v>516</v>
          </cell>
          <cell r="AC22">
            <v>99</v>
          </cell>
          <cell r="AD22">
            <v>46</v>
          </cell>
          <cell r="AE22">
            <v>1</v>
          </cell>
          <cell r="AF22">
            <v>44</v>
          </cell>
          <cell r="AG22">
            <v>2</v>
          </cell>
          <cell r="AH22">
            <v>0</v>
          </cell>
          <cell r="AI22">
            <v>2366</v>
          </cell>
          <cell r="AJ22">
            <v>1238</v>
          </cell>
          <cell r="AK22">
            <v>940</v>
          </cell>
          <cell r="AL22">
            <v>298</v>
          </cell>
          <cell r="AM22">
            <v>919</v>
          </cell>
        </row>
        <row r="23">
          <cell r="A23">
            <v>16</v>
          </cell>
          <cell r="B23" t="str">
            <v>Bath &amp; North East Somerset</v>
          </cell>
          <cell r="C23" t="str">
            <v>E0101</v>
          </cell>
          <cell r="D23">
            <v>5988818.3499999996</v>
          </cell>
          <cell r="E23">
            <v>141967.17000000001</v>
          </cell>
          <cell r="F23">
            <v>20635.5</v>
          </cell>
          <cell r="G23">
            <v>56785.2</v>
          </cell>
          <cell r="H23">
            <v>3137834.61</v>
          </cell>
          <cell r="I23">
            <v>9901.66</v>
          </cell>
          <cell r="J23">
            <v>16826</v>
          </cell>
          <cell r="K23">
            <v>4202.9799999999996</v>
          </cell>
          <cell r="L23">
            <v>7111.25</v>
          </cell>
          <cell r="M23">
            <v>18578.27</v>
          </cell>
          <cell r="N23">
            <v>1159162.8400000001</v>
          </cell>
          <cell r="O23">
            <v>3014422.11</v>
          </cell>
          <cell r="P23">
            <v>1.3</v>
          </cell>
          <cell r="Q23">
            <v>1.0378000000000001</v>
          </cell>
          <cell r="S23">
            <v>5675</v>
          </cell>
          <cell r="T23">
            <v>166941601</v>
          </cell>
          <cell r="U23">
            <v>664350.35</v>
          </cell>
          <cell r="X23">
            <v>374</v>
          </cell>
          <cell r="Y23">
            <v>43</v>
          </cell>
          <cell r="Z23">
            <v>16</v>
          </cell>
          <cell r="AA23">
            <v>12</v>
          </cell>
          <cell r="AB23">
            <v>578</v>
          </cell>
          <cell r="AC23">
            <v>40</v>
          </cell>
          <cell r="AD23">
            <v>13</v>
          </cell>
          <cell r="AE23">
            <v>25</v>
          </cell>
          <cell r="AF23">
            <v>9</v>
          </cell>
          <cell r="AG23">
            <v>39</v>
          </cell>
          <cell r="AH23">
            <v>0</v>
          </cell>
          <cell r="AI23">
            <v>3774</v>
          </cell>
          <cell r="AJ23">
            <v>1709</v>
          </cell>
          <cell r="AK23">
            <v>1020</v>
          </cell>
          <cell r="AL23">
            <v>689</v>
          </cell>
          <cell r="AM23">
            <v>219</v>
          </cell>
        </row>
        <row r="24">
          <cell r="A24">
            <v>17</v>
          </cell>
          <cell r="B24" t="str">
            <v>Bedford UA</v>
          </cell>
          <cell r="C24" t="str">
            <v>E0202</v>
          </cell>
          <cell r="D24">
            <v>4129196.95</v>
          </cell>
          <cell r="E24">
            <v>145192.10999999999</v>
          </cell>
          <cell r="F24">
            <v>35785.72</v>
          </cell>
          <cell r="G24">
            <v>0</v>
          </cell>
          <cell r="H24">
            <v>2812194.55</v>
          </cell>
          <cell r="I24">
            <v>32003.79</v>
          </cell>
          <cell r="J24">
            <v>41020.06</v>
          </cell>
          <cell r="K24">
            <v>261.82</v>
          </cell>
          <cell r="L24">
            <v>24295.21</v>
          </cell>
          <cell r="M24">
            <v>19156.09</v>
          </cell>
          <cell r="N24">
            <v>1129282.3400000001</v>
          </cell>
          <cell r="O24">
            <v>2426419.4500000002</v>
          </cell>
          <cell r="P24">
            <v>1.3</v>
          </cell>
          <cell r="Q24">
            <v>1.0392999999999999</v>
          </cell>
          <cell r="S24">
            <v>4974</v>
          </cell>
          <cell r="T24">
            <v>161467370</v>
          </cell>
          <cell r="U24">
            <v>650427.35</v>
          </cell>
          <cell r="X24">
            <v>322</v>
          </cell>
          <cell r="Y24">
            <v>18</v>
          </cell>
          <cell r="Z24">
            <v>32</v>
          </cell>
          <cell r="AA24">
            <v>0</v>
          </cell>
          <cell r="AB24">
            <v>529</v>
          </cell>
          <cell r="AC24">
            <v>138</v>
          </cell>
          <cell r="AD24">
            <v>13</v>
          </cell>
          <cell r="AE24">
            <v>6</v>
          </cell>
          <cell r="AF24">
            <v>32</v>
          </cell>
          <cell r="AG24">
            <v>18</v>
          </cell>
          <cell r="AH24">
            <v>0</v>
          </cell>
          <cell r="AI24">
            <v>2132</v>
          </cell>
          <cell r="AJ24">
            <v>1378</v>
          </cell>
          <cell r="AK24">
            <v>810</v>
          </cell>
          <cell r="AL24">
            <v>568</v>
          </cell>
          <cell r="AM24">
            <v>1455</v>
          </cell>
        </row>
        <row r="25">
          <cell r="A25">
            <v>18</v>
          </cell>
          <cell r="B25" t="str">
            <v>Bexley</v>
          </cell>
          <cell r="C25" t="str">
            <v>E5032</v>
          </cell>
          <cell r="D25">
            <v>4078358.19</v>
          </cell>
          <cell r="E25">
            <v>93651.839999999997</v>
          </cell>
          <cell r="F25">
            <v>0</v>
          </cell>
          <cell r="G25">
            <v>0</v>
          </cell>
          <cell r="H25">
            <v>2933837.34</v>
          </cell>
          <cell r="I25">
            <v>0</v>
          </cell>
          <cell r="J25">
            <v>274.73</v>
          </cell>
          <cell r="K25">
            <v>0</v>
          </cell>
          <cell r="L25">
            <v>0</v>
          </cell>
          <cell r="M25">
            <v>0</v>
          </cell>
          <cell r="N25">
            <v>1119145.18</v>
          </cell>
          <cell r="O25">
            <v>3317077.06</v>
          </cell>
          <cell r="P25">
            <v>1.5</v>
          </cell>
          <cell r="Q25">
            <v>1.0760000000000001</v>
          </cell>
          <cell r="S25">
            <v>5440</v>
          </cell>
          <cell r="T25">
            <v>173834087</v>
          </cell>
          <cell r="U25">
            <v>951118.13</v>
          </cell>
          <cell r="X25">
            <v>225</v>
          </cell>
          <cell r="Y25">
            <v>13</v>
          </cell>
          <cell r="Z25">
            <v>0</v>
          </cell>
          <cell r="AA25">
            <v>0</v>
          </cell>
          <cell r="AB25">
            <v>725</v>
          </cell>
          <cell r="AC25">
            <v>0</v>
          </cell>
          <cell r="AD25">
            <v>2</v>
          </cell>
          <cell r="AE25">
            <v>0</v>
          </cell>
          <cell r="AF25">
            <v>0</v>
          </cell>
          <cell r="AG25">
            <v>0</v>
          </cell>
          <cell r="AH25">
            <v>0</v>
          </cell>
          <cell r="AI25">
            <v>3418</v>
          </cell>
          <cell r="AJ25">
            <v>1709</v>
          </cell>
          <cell r="AK25">
            <v>869</v>
          </cell>
          <cell r="AL25">
            <v>840</v>
          </cell>
          <cell r="AM25">
            <v>315</v>
          </cell>
        </row>
        <row r="26">
          <cell r="A26">
            <v>19</v>
          </cell>
          <cell r="B26" t="str">
            <v>Birmingham</v>
          </cell>
          <cell r="C26" t="str">
            <v>E4601</v>
          </cell>
          <cell r="D26">
            <v>21244951.219999999</v>
          </cell>
          <cell r="E26">
            <v>91948.08</v>
          </cell>
          <cell r="F26">
            <v>0</v>
          </cell>
          <cell r="G26">
            <v>654535.28</v>
          </cell>
          <cell r="H26">
            <v>28227272.539999999</v>
          </cell>
          <cell r="I26">
            <v>3903.33</v>
          </cell>
          <cell r="J26">
            <v>660488.67000000004</v>
          </cell>
          <cell r="K26">
            <v>0</v>
          </cell>
          <cell r="L26">
            <v>0</v>
          </cell>
          <cell r="M26">
            <v>0</v>
          </cell>
          <cell r="N26">
            <v>7294805.6299999999</v>
          </cell>
          <cell r="O26">
            <v>15940690.68</v>
          </cell>
          <cell r="P26">
            <v>1.7</v>
          </cell>
          <cell r="Q26">
            <v>1.0134000000000001</v>
          </cell>
          <cell r="S26">
            <v>44954</v>
          </cell>
          <cell r="T26">
            <v>1050070091</v>
          </cell>
          <cell r="U26">
            <v>5482864.3099999996</v>
          </cell>
          <cell r="X26">
            <v>1414</v>
          </cell>
          <cell r="Y26">
            <v>9</v>
          </cell>
          <cell r="Z26">
            <v>0</v>
          </cell>
          <cell r="AA26">
            <v>8</v>
          </cell>
          <cell r="AB26">
            <v>11326</v>
          </cell>
          <cell r="AC26">
            <v>8</v>
          </cell>
          <cell r="AD26">
            <v>170</v>
          </cell>
          <cell r="AE26">
            <v>0</v>
          </cell>
          <cell r="AF26">
            <v>0</v>
          </cell>
          <cell r="AG26">
            <v>0</v>
          </cell>
          <cell r="AH26">
            <v>86</v>
          </cell>
          <cell r="AI26">
            <v>34870</v>
          </cell>
          <cell r="AJ26">
            <v>8891</v>
          </cell>
          <cell r="AK26">
            <v>5801</v>
          </cell>
          <cell r="AL26">
            <v>3090</v>
          </cell>
          <cell r="AM26">
            <v>558</v>
          </cell>
        </row>
        <row r="27">
          <cell r="A27">
            <v>20</v>
          </cell>
          <cell r="B27" t="str">
            <v>Blaby</v>
          </cell>
          <cell r="C27" t="str">
            <v>E2431</v>
          </cell>
          <cell r="D27">
            <v>503507.83</v>
          </cell>
          <cell r="E27">
            <v>28886.080000000002</v>
          </cell>
          <cell r="F27">
            <v>996.16</v>
          </cell>
          <cell r="G27">
            <v>250000</v>
          </cell>
          <cell r="H27">
            <v>295586.37</v>
          </cell>
          <cell r="I27">
            <v>11819.37</v>
          </cell>
          <cell r="J27">
            <v>5242.13</v>
          </cell>
          <cell r="K27">
            <v>786.19</v>
          </cell>
          <cell r="L27">
            <v>0</v>
          </cell>
          <cell r="M27">
            <v>0</v>
          </cell>
          <cell r="N27">
            <v>724142.83</v>
          </cell>
          <cell r="O27">
            <v>895683.31</v>
          </cell>
          <cell r="P27">
            <v>0.9</v>
          </cell>
          <cell r="Q27">
            <v>1</v>
          </cell>
          <cell r="S27">
            <v>2027</v>
          </cell>
          <cell r="T27">
            <v>94881944</v>
          </cell>
          <cell r="U27">
            <v>388820.94</v>
          </cell>
          <cell r="X27">
            <v>62</v>
          </cell>
          <cell r="Y27">
            <v>11</v>
          </cell>
          <cell r="Z27">
            <v>3</v>
          </cell>
          <cell r="AA27">
            <v>5</v>
          </cell>
          <cell r="AB27">
            <v>150</v>
          </cell>
          <cell r="AC27">
            <v>41</v>
          </cell>
          <cell r="AD27">
            <v>9</v>
          </cell>
          <cell r="AE27">
            <v>10</v>
          </cell>
          <cell r="AF27">
            <v>0</v>
          </cell>
          <cell r="AG27">
            <v>0</v>
          </cell>
          <cell r="AH27">
            <v>0</v>
          </cell>
          <cell r="AI27">
            <v>1418</v>
          </cell>
          <cell r="AJ27">
            <v>552</v>
          </cell>
          <cell r="AK27">
            <v>404</v>
          </cell>
          <cell r="AL27">
            <v>148</v>
          </cell>
          <cell r="AM27">
            <v>35</v>
          </cell>
        </row>
        <row r="28">
          <cell r="A28">
            <v>21</v>
          </cell>
          <cell r="B28" t="str">
            <v>Blackburn with Darwen</v>
          </cell>
          <cell r="C28" t="str">
            <v>E2301</v>
          </cell>
          <cell r="D28">
            <v>2705771.71</v>
          </cell>
          <cell r="E28">
            <v>70412.91</v>
          </cell>
          <cell r="F28">
            <v>0</v>
          </cell>
          <cell r="G28">
            <v>249010.35</v>
          </cell>
          <cell r="H28">
            <v>3086714.76</v>
          </cell>
          <cell r="I28">
            <v>15794.34</v>
          </cell>
          <cell r="J28">
            <v>35642.300000000003</v>
          </cell>
          <cell r="K28">
            <v>2566.52</v>
          </cell>
          <cell r="L28">
            <v>1949.36</v>
          </cell>
          <cell r="M28">
            <v>0</v>
          </cell>
          <cell r="N28">
            <v>855371.21</v>
          </cell>
          <cell r="O28">
            <v>3743628.23</v>
          </cell>
          <cell r="P28">
            <v>1.3</v>
          </cell>
          <cell r="Q28">
            <v>1</v>
          </cell>
          <cell r="S28">
            <v>6088</v>
          </cell>
          <cell r="T28">
            <v>128104595</v>
          </cell>
          <cell r="U28">
            <v>495775.05</v>
          </cell>
          <cell r="X28">
            <v>234</v>
          </cell>
          <cell r="Y28">
            <v>7</v>
          </cell>
          <cell r="Z28">
            <v>0</v>
          </cell>
          <cell r="AA28">
            <v>9</v>
          </cell>
          <cell r="AB28">
            <v>1086</v>
          </cell>
          <cell r="AC28">
            <v>74</v>
          </cell>
          <cell r="AD28">
            <v>42</v>
          </cell>
          <cell r="AE28">
            <v>3</v>
          </cell>
          <cell r="AF28">
            <v>0</v>
          </cell>
          <cell r="AG28">
            <v>0</v>
          </cell>
          <cell r="AH28">
            <v>0</v>
          </cell>
          <cell r="AI28">
            <v>3343</v>
          </cell>
          <cell r="AJ28">
            <v>2391</v>
          </cell>
          <cell r="AK28">
            <v>1869</v>
          </cell>
          <cell r="AL28">
            <v>522</v>
          </cell>
          <cell r="AM28">
            <v>109</v>
          </cell>
        </row>
        <row r="29">
          <cell r="A29">
            <v>22</v>
          </cell>
          <cell r="B29" t="str">
            <v>Blackpool</v>
          </cell>
          <cell r="C29" t="str">
            <v>E2302</v>
          </cell>
          <cell r="D29">
            <v>1578354.15</v>
          </cell>
          <cell r="E29">
            <v>0</v>
          </cell>
          <cell r="F29">
            <v>0</v>
          </cell>
          <cell r="G29">
            <v>0</v>
          </cell>
          <cell r="H29">
            <v>1066987</v>
          </cell>
          <cell r="I29">
            <v>1665.36</v>
          </cell>
          <cell r="J29">
            <v>28663.19</v>
          </cell>
          <cell r="K29">
            <v>0</v>
          </cell>
          <cell r="L29">
            <v>0</v>
          </cell>
          <cell r="M29">
            <v>0</v>
          </cell>
          <cell r="N29">
            <v>833379.64</v>
          </cell>
          <cell r="O29">
            <v>5147462.6900000004</v>
          </cell>
          <cell r="P29">
            <v>1.3</v>
          </cell>
          <cell r="Q29">
            <v>1</v>
          </cell>
          <cell r="S29">
            <v>6835</v>
          </cell>
          <cell r="T29">
            <v>132003794</v>
          </cell>
          <cell r="U29">
            <v>528035.83999999997</v>
          </cell>
          <cell r="X29">
            <v>141</v>
          </cell>
          <cell r="Y29">
            <v>0</v>
          </cell>
          <cell r="Z29">
            <v>0</v>
          </cell>
          <cell r="AA29">
            <v>0</v>
          </cell>
          <cell r="AB29">
            <v>1112</v>
          </cell>
          <cell r="AC29">
            <v>2</v>
          </cell>
          <cell r="AD29">
            <v>27</v>
          </cell>
          <cell r="AE29">
            <v>0</v>
          </cell>
          <cell r="AF29">
            <v>0</v>
          </cell>
          <cell r="AG29">
            <v>0</v>
          </cell>
          <cell r="AH29">
            <v>0</v>
          </cell>
          <cell r="AI29">
            <v>2244</v>
          </cell>
          <cell r="AJ29">
            <v>2931</v>
          </cell>
          <cell r="AK29">
            <v>1847</v>
          </cell>
          <cell r="AL29">
            <v>1084</v>
          </cell>
          <cell r="AM29">
            <v>1588</v>
          </cell>
        </row>
        <row r="30">
          <cell r="A30">
            <v>23</v>
          </cell>
          <cell r="B30" t="str">
            <v>Bolsover</v>
          </cell>
          <cell r="C30" t="str">
            <v>E1032</v>
          </cell>
          <cell r="D30">
            <v>396895.25</v>
          </cell>
          <cell r="E30">
            <v>3657.98</v>
          </cell>
          <cell r="F30">
            <v>16333.44</v>
          </cell>
          <cell r="G30">
            <v>0</v>
          </cell>
          <cell r="H30">
            <v>406496.01</v>
          </cell>
          <cell r="I30">
            <v>776.22</v>
          </cell>
          <cell r="J30">
            <v>22635.41</v>
          </cell>
          <cell r="K30">
            <v>0</v>
          </cell>
          <cell r="L30">
            <v>0</v>
          </cell>
          <cell r="M30">
            <v>0</v>
          </cell>
          <cell r="N30">
            <v>349002.65</v>
          </cell>
          <cell r="O30">
            <v>1020987.89</v>
          </cell>
          <cell r="P30">
            <v>0.9</v>
          </cell>
          <cell r="Q30">
            <v>1</v>
          </cell>
          <cell r="S30">
            <v>2223</v>
          </cell>
          <cell r="T30">
            <v>49863769</v>
          </cell>
          <cell r="U30">
            <v>201174.78</v>
          </cell>
          <cell r="X30">
            <v>69</v>
          </cell>
          <cell r="Y30">
            <v>1</v>
          </cell>
          <cell r="Z30">
            <v>17</v>
          </cell>
          <cell r="AA30">
            <v>0</v>
          </cell>
          <cell r="AB30">
            <v>378</v>
          </cell>
          <cell r="AC30">
            <v>28</v>
          </cell>
          <cell r="AD30">
            <v>23</v>
          </cell>
          <cell r="AE30">
            <v>0</v>
          </cell>
          <cell r="AF30">
            <v>0</v>
          </cell>
          <cell r="AG30">
            <v>0</v>
          </cell>
          <cell r="AH30">
            <v>0</v>
          </cell>
          <cell r="AI30">
            <v>1493</v>
          </cell>
          <cell r="AJ30">
            <v>718</v>
          </cell>
          <cell r="AK30">
            <v>587</v>
          </cell>
          <cell r="AL30">
            <v>131</v>
          </cell>
          <cell r="AM30">
            <v>14</v>
          </cell>
        </row>
        <row r="31">
          <cell r="A31">
            <v>24</v>
          </cell>
          <cell r="B31" t="str">
            <v>Bolton</v>
          </cell>
          <cell r="C31" t="str">
            <v>E4201</v>
          </cell>
          <cell r="D31">
            <v>5060357.21</v>
          </cell>
          <cell r="E31">
            <v>79038.100000000006</v>
          </cell>
          <cell r="F31">
            <v>0</v>
          </cell>
          <cell r="G31">
            <v>216383.64</v>
          </cell>
          <cell r="H31">
            <v>2660913.9300000002</v>
          </cell>
          <cell r="I31">
            <v>170687.29250000001</v>
          </cell>
          <cell r="J31">
            <v>155970.6225</v>
          </cell>
          <cell r="K31">
            <v>0</v>
          </cell>
          <cell r="L31">
            <v>0</v>
          </cell>
          <cell r="M31">
            <v>0</v>
          </cell>
          <cell r="N31">
            <v>1616350.51</v>
          </cell>
          <cell r="O31">
            <v>5939920.1199999992</v>
          </cell>
          <cell r="P31">
            <v>1.7</v>
          </cell>
          <cell r="Q31">
            <v>1.0168999999999999</v>
          </cell>
          <cell r="S31">
            <v>9337</v>
          </cell>
          <cell r="T31">
            <v>236387610</v>
          </cell>
          <cell r="U31">
            <v>1253110.1000000001</v>
          </cell>
          <cell r="X31">
            <v>379</v>
          </cell>
          <cell r="Y31">
            <v>10</v>
          </cell>
          <cell r="Z31">
            <v>0</v>
          </cell>
          <cell r="AA31">
            <v>23</v>
          </cell>
          <cell r="AB31">
            <v>655</v>
          </cell>
          <cell r="AC31">
            <v>238</v>
          </cell>
          <cell r="AD31">
            <v>42</v>
          </cell>
          <cell r="AE31">
            <v>0</v>
          </cell>
          <cell r="AF31">
            <v>0</v>
          </cell>
          <cell r="AG31">
            <v>0</v>
          </cell>
          <cell r="AH31">
            <v>0</v>
          </cell>
          <cell r="AI31">
            <v>5608</v>
          </cell>
          <cell r="AJ31">
            <v>3318</v>
          </cell>
          <cell r="AK31">
            <v>2225</v>
          </cell>
          <cell r="AL31">
            <v>1093</v>
          </cell>
          <cell r="AM31">
            <v>301</v>
          </cell>
        </row>
        <row r="32">
          <cell r="A32">
            <v>25</v>
          </cell>
          <cell r="B32" t="str">
            <v>Boston</v>
          </cell>
          <cell r="C32" t="str">
            <v>E2531</v>
          </cell>
          <cell r="D32">
            <v>900704.23</v>
          </cell>
          <cell r="E32">
            <v>32743.59</v>
          </cell>
          <cell r="F32">
            <v>22783.119999999999</v>
          </cell>
          <cell r="G32">
            <v>0</v>
          </cell>
          <cell r="H32">
            <v>687396</v>
          </cell>
          <cell r="I32">
            <v>17018.71</v>
          </cell>
          <cell r="J32">
            <v>22482.799999999999</v>
          </cell>
          <cell r="K32">
            <v>8179.82</v>
          </cell>
          <cell r="L32">
            <v>1332.77</v>
          </cell>
          <cell r="M32">
            <v>0</v>
          </cell>
          <cell r="N32">
            <v>332127.32</v>
          </cell>
          <cell r="O32">
            <v>1102208.51</v>
          </cell>
          <cell r="P32">
            <v>0.9</v>
          </cell>
          <cell r="Q32">
            <v>1</v>
          </cell>
          <cell r="S32">
            <v>2066</v>
          </cell>
          <cell r="T32">
            <v>48754970</v>
          </cell>
          <cell r="U32">
            <v>182555.7</v>
          </cell>
          <cell r="X32">
            <v>114</v>
          </cell>
          <cell r="Y32">
            <v>10</v>
          </cell>
          <cell r="Z32">
            <v>26</v>
          </cell>
          <cell r="AA32">
            <v>0</v>
          </cell>
          <cell r="AB32">
            <v>223</v>
          </cell>
          <cell r="AC32">
            <v>74</v>
          </cell>
          <cell r="AD32">
            <v>6</v>
          </cell>
          <cell r="AE32">
            <v>11</v>
          </cell>
          <cell r="AF32">
            <v>5</v>
          </cell>
          <cell r="AG32">
            <v>0</v>
          </cell>
          <cell r="AH32">
            <v>0</v>
          </cell>
          <cell r="AI32">
            <v>1375</v>
          </cell>
          <cell r="AJ32">
            <v>643</v>
          </cell>
          <cell r="AK32">
            <v>454</v>
          </cell>
          <cell r="AL32">
            <v>189</v>
          </cell>
          <cell r="AM32">
            <v>46</v>
          </cell>
        </row>
        <row r="33">
          <cell r="A33">
            <v>26</v>
          </cell>
          <cell r="B33" t="str">
            <v>Bournemouth</v>
          </cell>
          <cell r="C33" t="str">
            <v>E1202</v>
          </cell>
          <cell r="D33">
            <v>4251659.41</v>
          </cell>
          <cell r="E33">
            <v>69616</v>
          </cell>
          <cell r="F33">
            <v>0</v>
          </cell>
          <cell r="G33">
            <v>0</v>
          </cell>
          <cell r="H33">
            <v>1003154.59</v>
          </cell>
          <cell r="I33">
            <v>39767.269999999997</v>
          </cell>
          <cell r="J33">
            <v>22534.73</v>
          </cell>
          <cell r="K33">
            <v>2610.6</v>
          </cell>
          <cell r="L33">
            <v>0</v>
          </cell>
          <cell r="M33">
            <v>0</v>
          </cell>
          <cell r="N33">
            <v>1148714.24</v>
          </cell>
          <cell r="O33">
            <v>3739828.1</v>
          </cell>
          <cell r="P33">
            <v>1.3</v>
          </cell>
          <cell r="Q33">
            <v>1</v>
          </cell>
          <cell r="S33">
            <v>7233</v>
          </cell>
          <cell r="T33">
            <v>169272701</v>
          </cell>
          <cell r="U33">
            <v>713111.55</v>
          </cell>
          <cell r="X33">
            <v>238</v>
          </cell>
          <cell r="Y33">
            <v>1</v>
          </cell>
          <cell r="Z33">
            <v>0</v>
          </cell>
          <cell r="AA33">
            <v>0</v>
          </cell>
          <cell r="AB33">
            <v>645</v>
          </cell>
          <cell r="AC33">
            <v>64</v>
          </cell>
          <cell r="AD33">
            <v>7</v>
          </cell>
          <cell r="AE33">
            <v>1</v>
          </cell>
          <cell r="AF33">
            <v>0</v>
          </cell>
          <cell r="AG33">
            <v>0</v>
          </cell>
          <cell r="AH33">
            <v>0</v>
          </cell>
          <cell r="AI33">
            <v>3759</v>
          </cell>
          <cell r="AJ33">
            <v>3304</v>
          </cell>
          <cell r="AK33">
            <v>2537</v>
          </cell>
          <cell r="AL33">
            <v>767</v>
          </cell>
          <cell r="AM33">
            <v>200</v>
          </cell>
        </row>
        <row r="34">
          <cell r="A34">
            <v>27</v>
          </cell>
          <cell r="B34" t="str">
            <v>Bracknell Forest</v>
          </cell>
          <cell r="C34" t="str">
            <v>E0301</v>
          </cell>
          <cell r="D34">
            <v>1664283.59</v>
          </cell>
          <cell r="E34">
            <v>2271.6799999999998</v>
          </cell>
          <cell r="F34">
            <v>0</v>
          </cell>
          <cell r="G34">
            <v>241626.6</v>
          </cell>
          <cell r="H34">
            <v>1472938.29</v>
          </cell>
          <cell r="I34">
            <v>15306.88</v>
          </cell>
          <cell r="J34">
            <v>39391.69</v>
          </cell>
          <cell r="K34">
            <v>0</v>
          </cell>
          <cell r="L34">
            <v>0</v>
          </cell>
          <cell r="M34">
            <v>0</v>
          </cell>
          <cell r="N34">
            <v>992360.04</v>
          </cell>
          <cell r="O34">
            <v>770947.26</v>
          </cell>
          <cell r="P34">
            <v>1.3</v>
          </cell>
          <cell r="Q34">
            <v>1.1039000000000001</v>
          </cell>
          <cell r="S34">
            <v>2502</v>
          </cell>
          <cell r="T34">
            <v>132319670</v>
          </cell>
          <cell r="U34">
            <v>589123.29</v>
          </cell>
          <cell r="X34">
            <v>108</v>
          </cell>
          <cell r="Y34">
            <v>1</v>
          </cell>
          <cell r="Z34">
            <v>0</v>
          </cell>
          <cell r="AA34">
            <v>1</v>
          </cell>
          <cell r="AB34">
            <v>340</v>
          </cell>
          <cell r="AC34">
            <v>71</v>
          </cell>
          <cell r="AD34">
            <v>14</v>
          </cell>
          <cell r="AE34">
            <v>0</v>
          </cell>
          <cell r="AF34">
            <v>0</v>
          </cell>
          <cell r="AG34">
            <v>0</v>
          </cell>
          <cell r="AH34">
            <v>0</v>
          </cell>
          <cell r="AI34">
            <v>2017</v>
          </cell>
          <cell r="AJ34">
            <v>396</v>
          </cell>
          <cell r="AK34">
            <v>208</v>
          </cell>
          <cell r="AL34">
            <v>188</v>
          </cell>
          <cell r="AM34">
            <v>48</v>
          </cell>
        </row>
        <row r="35">
          <cell r="A35">
            <v>28</v>
          </cell>
          <cell r="B35" t="str">
            <v>Bradford</v>
          </cell>
          <cell r="C35" t="str">
            <v>E4701</v>
          </cell>
          <cell r="D35">
            <v>9054988.5199999996</v>
          </cell>
          <cell r="E35">
            <v>114995.84</v>
          </cell>
          <cell r="F35">
            <v>12168.43</v>
          </cell>
          <cell r="G35">
            <v>0</v>
          </cell>
          <cell r="H35">
            <v>10118264.42</v>
          </cell>
          <cell r="I35">
            <v>5168.5</v>
          </cell>
          <cell r="J35">
            <v>445108.57</v>
          </cell>
          <cell r="K35">
            <v>1385.45</v>
          </cell>
          <cell r="L35">
            <v>0</v>
          </cell>
          <cell r="M35">
            <v>11852.57</v>
          </cell>
          <cell r="N35">
            <v>2755922.59</v>
          </cell>
          <cell r="O35">
            <v>11511267.48</v>
          </cell>
          <cell r="P35">
            <v>1.7</v>
          </cell>
          <cell r="Q35">
            <v>1.0055000000000001</v>
          </cell>
          <cell r="S35">
            <v>17470</v>
          </cell>
          <cell r="T35">
            <v>383044614</v>
          </cell>
          <cell r="U35">
            <v>1909064.88</v>
          </cell>
          <cell r="X35">
            <v>687</v>
          </cell>
          <cell r="Y35">
            <v>14</v>
          </cell>
          <cell r="Z35">
            <v>12</v>
          </cell>
          <cell r="AA35">
            <v>5</v>
          </cell>
          <cell r="AB35">
            <v>3162</v>
          </cell>
          <cell r="AC35">
            <v>11</v>
          </cell>
          <cell r="AD35">
            <v>219</v>
          </cell>
          <cell r="AE35">
            <v>1</v>
          </cell>
          <cell r="AF35">
            <v>0</v>
          </cell>
          <cell r="AG35">
            <v>16</v>
          </cell>
          <cell r="AH35">
            <v>0</v>
          </cell>
          <cell r="AI35">
            <v>10352</v>
          </cell>
          <cell r="AJ35">
            <v>6573</v>
          </cell>
          <cell r="AK35">
            <v>4386</v>
          </cell>
          <cell r="AL35">
            <v>2187</v>
          </cell>
          <cell r="AM35">
            <v>487</v>
          </cell>
        </row>
        <row r="36">
          <cell r="A36">
            <v>29</v>
          </cell>
          <cell r="B36" t="str">
            <v>Braintree</v>
          </cell>
          <cell r="C36" t="str">
            <v>E1532</v>
          </cell>
          <cell r="D36">
            <v>1489635.27</v>
          </cell>
          <cell r="E36">
            <v>89629.17</v>
          </cell>
          <cell r="F36">
            <v>16715.939999999999</v>
          </cell>
          <cell r="G36">
            <v>0</v>
          </cell>
          <cell r="H36">
            <v>1119980.5</v>
          </cell>
          <cell r="I36">
            <v>18193.599999999999</v>
          </cell>
          <cell r="J36">
            <v>399180.2</v>
          </cell>
          <cell r="K36">
            <v>148.28</v>
          </cell>
          <cell r="L36">
            <v>1579.24</v>
          </cell>
          <cell r="M36">
            <v>0</v>
          </cell>
          <cell r="N36">
            <v>666817.31999999995</v>
          </cell>
          <cell r="O36">
            <v>2322132.7599999998</v>
          </cell>
          <cell r="P36">
            <v>0.9</v>
          </cell>
          <cell r="Q36">
            <v>1.0129999999999999</v>
          </cell>
          <cell r="S36">
            <v>4339</v>
          </cell>
          <cell r="T36">
            <v>103300739</v>
          </cell>
          <cell r="U36">
            <v>392939.35</v>
          </cell>
          <cell r="X36">
            <v>206</v>
          </cell>
          <cell r="Y36">
            <v>18</v>
          </cell>
          <cell r="Z36">
            <v>16</v>
          </cell>
          <cell r="AA36">
            <v>0</v>
          </cell>
          <cell r="AB36">
            <v>306</v>
          </cell>
          <cell r="AC36">
            <v>132</v>
          </cell>
          <cell r="AD36">
            <v>50</v>
          </cell>
          <cell r="AE36">
            <v>2</v>
          </cell>
          <cell r="AF36">
            <v>5</v>
          </cell>
          <cell r="AG36">
            <v>0</v>
          </cell>
          <cell r="AH36">
            <v>0</v>
          </cell>
          <cell r="AI36">
            <v>2923</v>
          </cell>
          <cell r="AJ36">
            <v>1306</v>
          </cell>
          <cell r="AK36">
            <v>828</v>
          </cell>
          <cell r="AL36">
            <v>478</v>
          </cell>
          <cell r="AM36">
            <v>126</v>
          </cell>
        </row>
        <row r="37">
          <cell r="A37">
            <v>30</v>
          </cell>
          <cell r="B37" t="str">
            <v>Breckland</v>
          </cell>
          <cell r="C37" t="str">
            <v>E2631</v>
          </cell>
          <cell r="D37">
            <v>1080667.94</v>
          </cell>
          <cell r="E37">
            <v>3167.92</v>
          </cell>
          <cell r="F37">
            <v>84347.83</v>
          </cell>
          <cell r="G37">
            <v>155780.13</v>
          </cell>
          <cell r="H37">
            <v>1291002</v>
          </cell>
          <cell r="I37">
            <v>7339.76</v>
          </cell>
          <cell r="J37">
            <v>0</v>
          </cell>
          <cell r="K37">
            <v>17.75</v>
          </cell>
          <cell r="L37">
            <v>8919.77</v>
          </cell>
          <cell r="M37">
            <v>0</v>
          </cell>
          <cell r="N37">
            <v>468400.12</v>
          </cell>
          <cell r="O37">
            <v>2283844.29</v>
          </cell>
          <cell r="P37">
            <v>0.9</v>
          </cell>
          <cell r="Q37">
            <v>1</v>
          </cell>
          <cell r="S37">
            <v>4130</v>
          </cell>
          <cell r="T37">
            <v>74811912</v>
          </cell>
          <cell r="U37">
            <v>272057.84999999998</v>
          </cell>
          <cell r="X37">
            <v>223</v>
          </cell>
          <cell r="Y37">
            <v>4</v>
          </cell>
          <cell r="Z37">
            <v>75</v>
          </cell>
          <cell r="AA37">
            <v>7</v>
          </cell>
          <cell r="AB37">
            <v>441</v>
          </cell>
          <cell r="AC37">
            <v>79</v>
          </cell>
          <cell r="AD37">
            <v>3</v>
          </cell>
          <cell r="AE37">
            <v>0</v>
          </cell>
          <cell r="AF37">
            <v>22</v>
          </cell>
          <cell r="AG37">
            <v>3</v>
          </cell>
          <cell r="AH37">
            <v>0</v>
          </cell>
          <cell r="AI37">
            <v>2442</v>
          </cell>
          <cell r="AJ37">
            <v>1496</v>
          </cell>
          <cell r="AK37">
            <v>1063</v>
          </cell>
          <cell r="AL37">
            <v>433</v>
          </cell>
          <cell r="AM37">
            <v>139</v>
          </cell>
        </row>
        <row r="38">
          <cell r="A38">
            <v>31</v>
          </cell>
          <cell r="B38" t="str">
            <v>Brent</v>
          </cell>
          <cell r="C38" t="str">
            <v>E5033</v>
          </cell>
          <cell r="D38">
            <v>6288670.4000000004</v>
          </cell>
          <cell r="E38">
            <v>23687.759999999998</v>
          </cell>
          <cell r="F38">
            <v>0</v>
          </cell>
          <cell r="G38">
            <v>1209.03</v>
          </cell>
          <cell r="H38">
            <v>5265666.08</v>
          </cell>
          <cell r="I38">
            <v>135385.67000000001</v>
          </cell>
          <cell r="J38">
            <v>13627.84</v>
          </cell>
          <cell r="K38">
            <v>585.1</v>
          </cell>
          <cell r="L38">
            <v>0</v>
          </cell>
          <cell r="M38">
            <v>0</v>
          </cell>
          <cell r="N38">
            <v>1751500.17</v>
          </cell>
          <cell r="O38">
            <v>3193293.49</v>
          </cell>
          <cell r="P38">
            <v>1.5</v>
          </cell>
          <cell r="Q38">
            <v>1.1113</v>
          </cell>
          <cell r="S38">
            <v>8289</v>
          </cell>
          <cell r="T38">
            <v>269405465</v>
          </cell>
          <cell r="U38">
            <v>1527002.04</v>
          </cell>
          <cell r="X38">
            <v>298</v>
          </cell>
          <cell r="Y38">
            <v>10</v>
          </cell>
          <cell r="Z38">
            <v>0</v>
          </cell>
          <cell r="AA38">
            <v>1</v>
          </cell>
          <cell r="AB38">
            <v>1245</v>
          </cell>
          <cell r="AC38">
            <v>139</v>
          </cell>
          <cell r="AD38">
            <v>4</v>
          </cell>
          <cell r="AE38">
            <v>3</v>
          </cell>
          <cell r="AF38">
            <v>0</v>
          </cell>
          <cell r="AG38">
            <v>0</v>
          </cell>
          <cell r="AH38">
            <v>0</v>
          </cell>
          <cell r="AI38">
            <v>3125</v>
          </cell>
          <cell r="AJ38">
            <v>1801</v>
          </cell>
          <cell r="AK38">
            <v>601</v>
          </cell>
          <cell r="AL38">
            <v>1200</v>
          </cell>
          <cell r="AM38">
            <v>3313</v>
          </cell>
        </row>
        <row r="39">
          <cell r="A39">
            <v>32</v>
          </cell>
          <cell r="B39" t="str">
            <v>Brentwood</v>
          </cell>
          <cell r="C39" t="str">
            <v>E1533</v>
          </cell>
          <cell r="D39">
            <v>2016554.3</v>
          </cell>
          <cell r="E39">
            <v>40578.800000000003</v>
          </cell>
          <cell r="F39">
            <v>5295.15</v>
          </cell>
          <cell r="G39">
            <v>16861.28</v>
          </cell>
          <cell r="H39">
            <v>338144.18</v>
          </cell>
          <cell r="I39">
            <v>21455.58</v>
          </cell>
          <cell r="J39">
            <v>43497.42</v>
          </cell>
          <cell r="K39">
            <v>1268.08</v>
          </cell>
          <cell r="L39">
            <v>2940.86</v>
          </cell>
          <cell r="M39">
            <v>11285.16</v>
          </cell>
          <cell r="N39">
            <v>536847.74</v>
          </cell>
          <cell r="O39">
            <v>839919.58</v>
          </cell>
          <cell r="P39">
            <v>0.9</v>
          </cell>
          <cell r="Q39">
            <v>1.0618000000000001</v>
          </cell>
          <cell r="S39">
            <v>2131</v>
          </cell>
          <cell r="T39">
            <v>75376468</v>
          </cell>
          <cell r="U39">
            <v>297764.42</v>
          </cell>
          <cell r="X39">
            <v>102</v>
          </cell>
          <cell r="Y39">
            <v>2</v>
          </cell>
          <cell r="Z39">
            <v>4</v>
          </cell>
          <cell r="AA39">
            <v>0</v>
          </cell>
          <cell r="AB39">
            <v>49</v>
          </cell>
          <cell r="AC39">
            <v>53</v>
          </cell>
          <cell r="AD39">
            <v>17</v>
          </cell>
          <cell r="AE39">
            <v>2</v>
          </cell>
          <cell r="AF39">
            <v>4</v>
          </cell>
          <cell r="AG39">
            <v>4</v>
          </cell>
          <cell r="AH39">
            <v>0</v>
          </cell>
          <cell r="AI39">
            <v>1540</v>
          </cell>
          <cell r="AJ39">
            <v>451</v>
          </cell>
          <cell r="AK39">
            <v>197</v>
          </cell>
          <cell r="AL39">
            <v>254</v>
          </cell>
          <cell r="AM39">
            <v>114</v>
          </cell>
        </row>
        <row r="40">
          <cell r="A40">
            <v>33</v>
          </cell>
          <cell r="B40" t="str">
            <v>Brighton &amp; Hove</v>
          </cell>
          <cell r="C40" t="str">
            <v>E1401</v>
          </cell>
          <cell r="D40">
            <v>7762159.0499999998</v>
          </cell>
          <cell r="E40">
            <v>54072.44</v>
          </cell>
          <cell r="F40">
            <v>0</v>
          </cell>
          <cell r="G40">
            <v>0</v>
          </cell>
          <cell r="H40">
            <v>3291467.5</v>
          </cell>
          <cell r="I40">
            <v>30434.2005739632</v>
          </cell>
          <cell r="J40">
            <v>48283.021743943791</v>
          </cell>
          <cell r="K40">
            <v>622.97099421810015</v>
          </cell>
          <cell r="L40">
            <v>0</v>
          </cell>
          <cell r="M40">
            <v>0</v>
          </cell>
          <cell r="N40">
            <v>1834144</v>
          </cell>
          <cell r="O40">
            <v>5124214.6500000004</v>
          </cell>
          <cell r="P40">
            <v>1.3</v>
          </cell>
          <cell r="Q40">
            <v>1.0089999999999999</v>
          </cell>
          <cell r="S40">
            <v>9463</v>
          </cell>
          <cell r="T40">
            <v>264201864</v>
          </cell>
          <cell r="U40">
            <v>1097515.18</v>
          </cell>
          <cell r="X40">
            <v>417</v>
          </cell>
          <cell r="Y40">
            <v>12</v>
          </cell>
          <cell r="Z40">
            <v>0</v>
          </cell>
          <cell r="AA40">
            <v>0</v>
          </cell>
          <cell r="AB40">
            <v>608</v>
          </cell>
          <cell r="AC40">
            <v>86</v>
          </cell>
          <cell r="AD40">
            <v>17</v>
          </cell>
          <cell r="AE40">
            <v>6</v>
          </cell>
          <cell r="AF40">
            <v>0</v>
          </cell>
          <cell r="AG40">
            <v>0</v>
          </cell>
          <cell r="AH40">
            <v>0</v>
          </cell>
          <cell r="AI40">
            <v>5991</v>
          </cell>
          <cell r="AJ40">
            <v>3190</v>
          </cell>
          <cell r="AK40">
            <v>1929</v>
          </cell>
          <cell r="AL40">
            <v>1261</v>
          </cell>
          <cell r="AM40">
            <v>313</v>
          </cell>
        </row>
        <row r="41">
          <cell r="A41">
            <v>34</v>
          </cell>
          <cell r="B41" t="str">
            <v>Bristol</v>
          </cell>
          <cell r="C41" t="str">
            <v>E0102</v>
          </cell>
          <cell r="D41">
            <v>13606490.42</v>
          </cell>
          <cell r="E41">
            <v>154411.95000000001</v>
          </cell>
          <cell r="F41">
            <v>0</v>
          </cell>
          <cell r="G41">
            <v>78947.7</v>
          </cell>
          <cell r="H41">
            <v>11093889.970000001</v>
          </cell>
          <cell r="I41">
            <v>54474.42</v>
          </cell>
          <cell r="J41">
            <v>496695.21</v>
          </cell>
          <cell r="K41">
            <v>2159.0100000000002</v>
          </cell>
          <cell r="L41">
            <v>0</v>
          </cell>
          <cell r="M41">
            <v>0</v>
          </cell>
          <cell r="N41">
            <v>3799543.06</v>
          </cell>
          <cell r="O41">
            <v>6361851.8499999996</v>
          </cell>
          <cell r="P41">
            <v>1.3</v>
          </cell>
          <cell r="Q41">
            <v>1.0378000000000001</v>
          </cell>
          <cell r="S41">
            <v>15046</v>
          </cell>
          <cell r="T41">
            <v>529577274</v>
          </cell>
          <cell r="U41">
            <v>2204291.17</v>
          </cell>
          <cell r="X41">
            <v>874</v>
          </cell>
          <cell r="Y41">
            <v>28</v>
          </cell>
          <cell r="Z41">
            <v>0</v>
          </cell>
          <cell r="AA41">
            <v>10</v>
          </cell>
          <cell r="AB41">
            <v>2083</v>
          </cell>
          <cell r="AC41">
            <v>168</v>
          </cell>
          <cell r="AD41">
            <v>144</v>
          </cell>
          <cell r="AE41">
            <v>17</v>
          </cell>
          <cell r="AF41">
            <v>0</v>
          </cell>
          <cell r="AG41">
            <v>0</v>
          </cell>
          <cell r="AH41">
            <v>0</v>
          </cell>
          <cell r="AI41">
            <v>10956</v>
          </cell>
          <cell r="AJ41">
            <v>3457</v>
          </cell>
          <cell r="AK41">
            <v>1855</v>
          </cell>
          <cell r="AL41">
            <v>1602</v>
          </cell>
          <cell r="AM41">
            <v>518</v>
          </cell>
        </row>
        <row r="42">
          <cell r="A42">
            <v>35</v>
          </cell>
          <cell r="B42" t="str">
            <v>Broadland</v>
          </cell>
          <cell r="C42" t="str">
            <v>E2632</v>
          </cell>
          <cell r="D42">
            <v>798020.84</v>
          </cell>
          <cell r="E42">
            <v>34139.32</v>
          </cell>
          <cell r="F42">
            <v>51474.02</v>
          </cell>
          <cell r="G42">
            <v>10000</v>
          </cell>
          <cell r="H42">
            <v>256133.73</v>
          </cell>
          <cell r="I42">
            <v>3172.59</v>
          </cell>
          <cell r="J42">
            <v>36234.54</v>
          </cell>
          <cell r="K42">
            <v>0</v>
          </cell>
          <cell r="L42">
            <v>38605.51</v>
          </cell>
          <cell r="M42">
            <v>6672.07</v>
          </cell>
          <cell r="N42">
            <v>476579.52</v>
          </cell>
          <cell r="O42">
            <v>1985366.27</v>
          </cell>
          <cell r="P42">
            <v>0.9</v>
          </cell>
          <cell r="Q42">
            <v>1</v>
          </cell>
          <cell r="S42">
            <v>3255</v>
          </cell>
          <cell r="T42">
            <v>72207039</v>
          </cell>
          <cell r="U42">
            <v>279207.73</v>
          </cell>
          <cell r="X42">
            <v>152</v>
          </cell>
          <cell r="Y42">
            <v>15</v>
          </cell>
          <cell r="Z42">
            <v>44</v>
          </cell>
          <cell r="AA42">
            <v>0</v>
          </cell>
          <cell r="AB42">
            <v>242</v>
          </cell>
          <cell r="AC42">
            <v>33</v>
          </cell>
          <cell r="AD42">
            <v>10</v>
          </cell>
          <cell r="AE42">
            <v>0</v>
          </cell>
          <cell r="AF42">
            <v>44</v>
          </cell>
          <cell r="AG42">
            <v>4</v>
          </cell>
          <cell r="AH42">
            <v>0</v>
          </cell>
          <cell r="AI42">
            <v>1882</v>
          </cell>
          <cell r="AJ42">
            <v>1317</v>
          </cell>
          <cell r="AK42">
            <v>973</v>
          </cell>
          <cell r="AL42">
            <v>344</v>
          </cell>
          <cell r="AM42">
            <v>70</v>
          </cell>
        </row>
        <row r="43">
          <cell r="A43">
            <v>36</v>
          </cell>
          <cell r="B43" t="str">
            <v>Bromley</v>
          </cell>
          <cell r="C43" t="str">
            <v>E5034</v>
          </cell>
          <cell r="D43">
            <v>6833221.6799999997</v>
          </cell>
          <cell r="E43">
            <v>154595.16</v>
          </cell>
          <cell r="F43">
            <v>0</v>
          </cell>
          <cell r="G43">
            <v>0</v>
          </cell>
          <cell r="H43">
            <v>3366697.09</v>
          </cell>
          <cell r="I43">
            <v>50277.120000000003</v>
          </cell>
          <cell r="J43">
            <v>148516.94</v>
          </cell>
          <cell r="K43">
            <v>9662.2000000000007</v>
          </cell>
          <cell r="L43">
            <v>0</v>
          </cell>
          <cell r="M43">
            <v>0</v>
          </cell>
          <cell r="N43">
            <v>1392339.71</v>
          </cell>
          <cell r="O43">
            <v>3922084.5</v>
          </cell>
          <cell r="P43">
            <v>1.5</v>
          </cell>
          <cell r="Q43">
            <v>1.0760000000000001</v>
          </cell>
          <cell r="S43">
            <v>7289</v>
          </cell>
          <cell r="T43">
            <v>215770679</v>
          </cell>
          <cell r="U43">
            <v>1197382.3999999999</v>
          </cell>
          <cell r="X43">
            <v>361</v>
          </cell>
          <cell r="Y43">
            <v>27</v>
          </cell>
          <cell r="Z43">
            <v>0</v>
          </cell>
          <cell r="AA43">
            <v>0</v>
          </cell>
          <cell r="AB43">
            <v>923</v>
          </cell>
          <cell r="AC43">
            <v>80</v>
          </cell>
          <cell r="AD43">
            <v>39</v>
          </cell>
          <cell r="AE43">
            <v>28</v>
          </cell>
          <cell r="AF43">
            <v>0</v>
          </cell>
          <cell r="AG43">
            <v>0</v>
          </cell>
          <cell r="AH43">
            <v>0</v>
          </cell>
          <cell r="AI43">
            <v>4846</v>
          </cell>
          <cell r="AJ43">
            <v>2026</v>
          </cell>
          <cell r="AK43">
            <v>1010</v>
          </cell>
          <cell r="AL43">
            <v>1016</v>
          </cell>
          <cell r="AM43">
            <v>424</v>
          </cell>
        </row>
        <row r="44">
          <cell r="A44">
            <v>37</v>
          </cell>
          <cell r="B44" t="str">
            <v>Bromsgrove</v>
          </cell>
          <cell r="C44" t="str">
            <v>E1831</v>
          </cell>
          <cell r="D44">
            <v>1410295.78</v>
          </cell>
          <cell r="E44">
            <v>14729.28</v>
          </cell>
          <cell r="F44">
            <v>3217.45</v>
          </cell>
          <cell r="G44">
            <v>0</v>
          </cell>
          <cell r="H44">
            <v>908693.89</v>
          </cell>
          <cell r="I44">
            <v>26339.27</v>
          </cell>
          <cell r="J44">
            <v>74321.820000000007</v>
          </cell>
          <cell r="K44">
            <v>832.42</v>
          </cell>
          <cell r="L44">
            <v>1099.2</v>
          </cell>
          <cell r="M44">
            <v>0</v>
          </cell>
          <cell r="N44">
            <v>522655.81</v>
          </cell>
          <cell r="O44">
            <v>1443961.49</v>
          </cell>
          <cell r="P44">
            <v>0.9</v>
          </cell>
          <cell r="Q44">
            <v>1</v>
          </cell>
          <cell r="S44">
            <v>2942</v>
          </cell>
          <cell r="T44">
            <v>69396956</v>
          </cell>
          <cell r="U44">
            <v>259744.71</v>
          </cell>
          <cell r="X44">
            <v>121</v>
          </cell>
          <cell r="Y44">
            <v>3</v>
          </cell>
          <cell r="Z44">
            <v>3</v>
          </cell>
          <cell r="AA44">
            <v>0</v>
          </cell>
          <cell r="AB44">
            <v>196</v>
          </cell>
          <cell r="AC44">
            <v>106</v>
          </cell>
          <cell r="AD44">
            <v>27</v>
          </cell>
          <cell r="AE44">
            <v>2</v>
          </cell>
          <cell r="AF44">
            <v>1</v>
          </cell>
          <cell r="AG44">
            <v>0</v>
          </cell>
          <cell r="AH44">
            <v>0</v>
          </cell>
          <cell r="AI44">
            <v>1171</v>
          </cell>
          <cell r="AJ44">
            <v>825</v>
          </cell>
          <cell r="AK44">
            <v>483</v>
          </cell>
          <cell r="AL44">
            <v>342</v>
          </cell>
          <cell r="AM44">
            <v>115</v>
          </cell>
        </row>
        <row r="45">
          <cell r="A45">
            <v>38</v>
          </cell>
          <cell r="B45" t="str">
            <v>Broxbourne</v>
          </cell>
          <cell r="C45" t="str">
            <v>E1931</v>
          </cell>
          <cell r="D45">
            <v>1577807.2</v>
          </cell>
          <cell r="E45">
            <v>68571.759999999995</v>
          </cell>
          <cell r="F45">
            <v>0</v>
          </cell>
          <cell r="G45">
            <v>5936.84</v>
          </cell>
          <cell r="H45">
            <v>690198.43</v>
          </cell>
          <cell r="I45">
            <v>19318.07</v>
          </cell>
          <cell r="J45">
            <v>19540.2</v>
          </cell>
          <cell r="K45">
            <v>741.51</v>
          </cell>
          <cell r="L45">
            <v>0</v>
          </cell>
          <cell r="M45">
            <v>0</v>
          </cell>
          <cell r="N45">
            <v>764724.20000000298</v>
          </cell>
          <cell r="O45">
            <v>1036825.97</v>
          </cell>
          <cell r="P45">
            <v>0.9</v>
          </cell>
          <cell r="Q45">
            <v>1.0815999999999999</v>
          </cell>
          <cell r="S45">
            <v>2212</v>
          </cell>
          <cell r="T45">
            <v>95529275</v>
          </cell>
          <cell r="U45">
            <v>372363.27</v>
          </cell>
          <cell r="X45">
            <v>92</v>
          </cell>
          <cell r="Y45">
            <v>4</v>
          </cell>
          <cell r="Z45">
            <v>0</v>
          </cell>
          <cell r="AA45">
            <v>0</v>
          </cell>
          <cell r="AB45">
            <v>209</v>
          </cell>
          <cell r="AC45">
            <v>37</v>
          </cell>
          <cell r="AD45">
            <v>6</v>
          </cell>
          <cell r="AE45">
            <v>1</v>
          </cell>
          <cell r="AF45">
            <v>0</v>
          </cell>
          <cell r="AG45">
            <v>0</v>
          </cell>
          <cell r="AH45">
            <v>0</v>
          </cell>
          <cell r="AI45">
            <v>1539</v>
          </cell>
          <cell r="AJ45">
            <v>543</v>
          </cell>
          <cell r="AK45">
            <v>236</v>
          </cell>
          <cell r="AL45">
            <v>307</v>
          </cell>
          <cell r="AM45">
            <v>111</v>
          </cell>
        </row>
        <row r="46">
          <cell r="A46">
            <v>39</v>
          </cell>
          <cell r="B46" t="str">
            <v>Broxtowe</v>
          </cell>
          <cell r="C46" t="str">
            <v>E3033</v>
          </cell>
          <cell r="D46">
            <v>767500.7</v>
          </cell>
          <cell r="E46">
            <v>0</v>
          </cell>
          <cell r="F46">
            <v>2624.35</v>
          </cell>
          <cell r="G46">
            <v>0</v>
          </cell>
          <cell r="H46">
            <v>476121.05</v>
          </cell>
          <cell r="I46">
            <v>8360.9500000000007</v>
          </cell>
          <cell r="J46">
            <v>47933.69</v>
          </cell>
          <cell r="K46">
            <v>0</v>
          </cell>
          <cell r="L46">
            <v>1968.25</v>
          </cell>
          <cell r="M46">
            <v>0</v>
          </cell>
          <cell r="N46">
            <v>399036.41</v>
          </cell>
          <cell r="O46">
            <v>1295647.43</v>
          </cell>
          <cell r="P46">
            <v>0.9</v>
          </cell>
          <cell r="Q46">
            <v>1.0121</v>
          </cell>
          <cell r="S46">
            <v>2513</v>
          </cell>
          <cell r="T46">
            <v>60886129</v>
          </cell>
          <cell r="U46">
            <v>244665.38</v>
          </cell>
          <cell r="X46">
            <v>95</v>
          </cell>
          <cell r="Y46">
            <v>0</v>
          </cell>
          <cell r="Z46">
            <v>6</v>
          </cell>
          <cell r="AA46">
            <v>0</v>
          </cell>
          <cell r="AB46">
            <v>197</v>
          </cell>
          <cell r="AC46">
            <v>55</v>
          </cell>
          <cell r="AD46">
            <v>7</v>
          </cell>
          <cell r="AE46">
            <v>0</v>
          </cell>
          <cell r="AF46">
            <v>6</v>
          </cell>
          <cell r="AG46">
            <v>0</v>
          </cell>
          <cell r="AH46">
            <v>0</v>
          </cell>
          <cell r="AI46">
            <v>1697</v>
          </cell>
          <cell r="AJ46">
            <v>796</v>
          </cell>
          <cell r="AK46">
            <v>632</v>
          </cell>
          <cell r="AL46">
            <v>164</v>
          </cell>
          <cell r="AM46">
            <v>37</v>
          </cell>
        </row>
        <row r="47">
          <cell r="A47">
            <v>40</v>
          </cell>
          <cell r="B47" t="str">
            <v>Burnley</v>
          </cell>
          <cell r="C47" t="str">
            <v>E2333</v>
          </cell>
          <cell r="D47">
            <v>1731159.71</v>
          </cell>
          <cell r="E47">
            <v>21379.439999999999</v>
          </cell>
          <cell r="F47">
            <v>2598.35</v>
          </cell>
          <cell r="G47">
            <v>0</v>
          </cell>
          <cell r="H47">
            <v>1449383.05</v>
          </cell>
          <cell r="I47">
            <v>6826.71</v>
          </cell>
          <cell r="J47">
            <v>40448.04</v>
          </cell>
          <cell r="K47">
            <v>0</v>
          </cell>
          <cell r="L47">
            <v>0</v>
          </cell>
          <cell r="M47">
            <v>0</v>
          </cell>
          <cell r="N47">
            <v>487639.5</v>
          </cell>
          <cell r="O47">
            <v>2041017.77</v>
          </cell>
          <cell r="P47">
            <v>0.9</v>
          </cell>
          <cell r="Q47">
            <v>1</v>
          </cell>
          <cell r="S47">
            <v>3579</v>
          </cell>
          <cell r="T47">
            <v>72222764</v>
          </cell>
          <cell r="U47">
            <v>261287.25</v>
          </cell>
          <cell r="X47">
            <v>124</v>
          </cell>
          <cell r="Y47">
            <v>2</v>
          </cell>
          <cell r="Z47">
            <v>2</v>
          </cell>
          <cell r="AA47">
            <v>0</v>
          </cell>
          <cell r="AB47">
            <v>667</v>
          </cell>
          <cell r="AC47">
            <v>39</v>
          </cell>
          <cell r="AD47">
            <v>46</v>
          </cell>
          <cell r="AE47">
            <v>0</v>
          </cell>
          <cell r="AF47">
            <v>0</v>
          </cell>
          <cell r="AG47">
            <v>0</v>
          </cell>
          <cell r="AH47">
            <v>0</v>
          </cell>
          <cell r="AI47">
            <v>2198</v>
          </cell>
          <cell r="AJ47">
            <v>1327</v>
          </cell>
          <cell r="AK47">
            <v>1016</v>
          </cell>
          <cell r="AL47">
            <v>311</v>
          </cell>
          <cell r="AM47">
            <v>69</v>
          </cell>
        </row>
        <row r="48">
          <cell r="A48">
            <v>41</v>
          </cell>
          <cell r="B48" t="str">
            <v>Bury</v>
          </cell>
          <cell r="C48" t="str">
            <v>E4202</v>
          </cell>
          <cell r="D48">
            <v>1783890.74</v>
          </cell>
          <cell r="E48">
            <v>54850.080000000002</v>
          </cell>
          <cell r="F48">
            <v>0</v>
          </cell>
          <cell r="G48">
            <v>0</v>
          </cell>
          <cell r="H48">
            <v>451549</v>
          </cell>
          <cell r="I48">
            <v>63909.94</v>
          </cell>
          <cell r="J48">
            <v>54919.65</v>
          </cell>
          <cell r="K48">
            <v>3128.73</v>
          </cell>
          <cell r="L48">
            <v>0</v>
          </cell>
          <cell r="M48">
            <v>0</v>
          </cell>
          <cell r="N48">
            <v>1601135.2</v>
          </cell>
          <cell r="O48">
            <v>3431647.97</v>
          </cell>
          <cell r="P48">
            <v>1.7</v>
          </cell>
          <cell r="Q48">
            <v>1.0168999999999999</v>
          </cell>
          <cell r="S48">
            <v>5516</v>
          </cell>
          <cell r="T48">
            <v>130965337</v>
          </cell>
          <cell r="U48">
            <v>731971.54</v>
          </cell>
          <cell r="X48">
            <v>156</v>
          </cell>
          <cell r="Y48">
            <v>7</v>
          </cell>
          <cell r="Z48">
            <v>0</v>
          </cell>
          <cell r="AA48">
            <v>0</v>
          </cell>
          <cell r="AB48">
            <v>326</v>
          </cell>
          <cell r="AC48">
            <v>125</v>
          </cell>
          <cell r="AD48">
            <v>21</v>
          </cell>
          <cell r="AE48">
            <v>7</v>
          </cell>
          <cell r="AF48">
            <v>0</v>
          </cell>
          <cell r="AG48">
            <v>0</v>
          </cell>
          <cell r="AH48">
            <v>0</v>
          </cell>
          <cell r="AI48">
            <v>1895</v>
          </cell>
          <cell r="AJ48">
            <v>1905</v>
          </cell>
          <cell r="AK48">
            <v>1152</v>
          </cell>
          <cell r="AL48">
            <v>753</v>
          </cell>
          <cell r="AM48">
            <v>1651</v>
          </cell>
        </row>
        <row r="49">
          <cell r="A49">
            <v>42</v>
          </cell>
          <cell r="B49" t="str">
            <v>Calderdale</v>
          </cell>
          <cell r="C49" t="str">
            <v>E4702</v>
          </cell>
          <cell r="D49">
            <v>2832452.98</v>
          </cell>
          <cell r="E49">
            <v>129347.99</v>
          </cell>
          <cell r="F49">
            <v>11762.41</v>
          </cell>
          <cell r="G49">
            <v>4234.21</v>
          </cell>
          <cell r="H49">
            <v>2280026.13</v>
          </cell>
          <cell r="I49">
            <v>58447.34</v>
          </cell>
          <cell r="J49">
            <v>197954.21</v>
          </cell>
          <cell r="K49">
            <v>0</v>
          </cell>
          <cell r="L49">
            <v>3490.82</v>
          </cell>
          <cell r="M49">
            <v>0</v>
          </cell>
          <cell r="N49">
            <v>987650.04</v>
          </cell>
          <cell r="O49">
            <v>5041567.9800000004</v>
          </cell>
          <cell r="P49">
            <v>1.7</v>
          </cell>
          <cell r="Q49">
            <v>1.0055000000000001</v>
          </cell>
          <cell r="S49">
            <v>8621</v>
          </cell>
          <cell r="T49">
            <v>153982120</v>
          </cell>
          <cell r="U49">
            <v>791505.81</v>
          </cell>
          <cell r="X49">
            <v>304</v>
          </cell>
          <cell r="Y49">
            <v>27</v>
          </cell>
          <cell r="Z49">
            <v>14</v>
          </cell>
          <cell r="AA49">
            <v>1</v>
          </cell>
          <cell r="AB49">
            <v>881</v>
          </cell>
          <cell r="AC49">
            <v>179</v>
          </cell>
          <cell r="AD49">
            <v>141</v>
          </cell>
          <cell r="AE49">
            <v>0</v>
          </cell>
          <cell r="AF49">
            <v>4</v>
          </cell>
          <cell r="AG49">
            <v>0</v>
          </cell>
          <cell r="AH49">
            <v>0</v>
          </cell>
          <cell r="AI49">
            <v>5513</v>
          </cell>
          <cell r="AJ49">
            <v>3104</v>
          </cell>
          <cell r="AK49">
            <v>2261</v>
          </cell>
          <cell r="AL49">
            <v>843</v>
          </cell>
          <cell r="AM49">
            <v>2409</v>
          </cell>
        </row>
        <row r="50">
          <cell r="A50">
            <v>43</v>
          </cell>
          <cell r="B50" t="str">
            <v>Cambridge</v>
          </cell>
          <cell r="C50" t="str">
            <v>E0531</v>
          </cell>
          <cell r="D50">
            <v>19455475.479999997</v>
          </cell>
          <cell r="E50">
            <v>16469.68</v>
          </cell>
          <cell r="F50">
            <v>0</v>
          </cell>
          <cell r="G50">
            <v>40000</v>
          </cell>
          <cell r="H50">
            <v>1408212.68</v>
          </cell>
          <cell r="I50">
            <v>41217.03</v>
          </cell>
          <cell r="J50">
            <v>17105.25</v>
          </cell>
          <cell r="K50">
            <v>0</v>
          </cell>
          <cell r="L50">
            <v>0</v>
          </cell>
          <cell r="M50">
            <v>0</v>
          </cell>
          <cell r="N50">
            <v>1963122.45</v>
          </cell>
          <cell r="O50">
            <v>1100174.55</v>
          </cell>
          <cell r="P50">
            <v>0.9</v>
          </cell>
          <cell r="Q50">
            <v>1.0339</v>
          </cell>
          <cell r="S50">
            <v>3967</v>
          </cell>
          <cell r="T50">
            <v>252358236</v>
          </cell>
          <cell r="U50">
            <v>911674.22</v>
          </cell>
          <cell r="X50">
            <v>433</v>
          </cell>
          <cell r="Y50">
            <v>4</v>
          </cell>
          <cell r="Z50">
            <v>0</v>
          </cell>
          <cell r="AA50">
            <v>4</v>
          </cell>
          <cell r="AB50">
            <v>404</v>
          </cell>
          <cell r="AC50">
            <v>70</v>
          </cell>
          <cell r="AD50">
            <v>4</v>
          </cell>
          <cell r="AE50">
            <v>0</v>
          </cell>
          <cell r="AF50">
            <v>0</v>
          </cell>
          <cell r="AG50">
            <v>0</v>
          </cell>
          <cell r="AH50">
            <v>0</v>
          </cell>
          <cell r="AI50">
            <v>3233</v>
          </cell>
          <cell r="AJ50">
            <v>748</v>
          </cell>
          <cell r="AK50">
            <v>237</v>
          </cell>
          <cell r="AL50">
            <v>511</v>
          </cell>
          <cell r="AM50">
            <v>125</v>
          </cell>
        </row>
        <row r="51">
          <cell r="A51">
            <v>44</v>
          </cell>
          <cell r="B51" t="str">
            <v>Camden</v>
          </cell>
          <cell r="C51" t="str">
            <v>E5011</v>
          </cell>
          <cell r="D51">
            <v>49985008.770000003</v>
          </cell>
          <cell r="E51">
            <v>13098.8</v>
          </cell>
          <cell r="F51">
            <v>0</v>
          </cell>
          <cell r="G51">
            <v>0</v>
          </cell>
          <cell r="H51">
            <v>11069345.32</v>
          </cell>
          <cell r="I51">
            <v>128832.98</v>
          </cell>
          <cell r="J51">
            <v>51819.44</v>
          </cell>
          <cell r="K51">
            <v>0</v>
          </cell>
          <cell r="L51">
            <v>0</v>
          </cell>
          <cell r="M51">
            <v>0</v>
          </cell>
          <cell r="N51">
            <v>9251438.6399999987</v>
          </cell>
          <cell r="O51">
            <v>2245416.15</v>
          </cell>
          <cell r="P51">
            <v>1.1000000000000001</v>
          </cell>
          <cell r="Q51">
            <v>1.2208000000000001</v>
          </cell>
          <cell r="S51">
            <v>16653</v>
          </cell>
          <cell r="T51">
            <v>1243949750</v>
          </cell>
          <cell r="U51">
            <v>6156745.2000000002</v>
          </cell>
          <cell r="X51">
            <v>817</v>
          </cell>
          <cell r="Y51">
            <v>1</v>
          </cell>
          <cell r="Z51">
            <v>0</v>
          </cell>
          <cell r="AA51">
            <v>0</v>
          </cell>
          <cell r="AB51">
            <v>928</v>
          </cell>
          <cell r="AC51">
            <v>137</v>
          </cell>
          <cell r="AD51">
            <v>3</v>
          </cell>
          <cell r="AE51">
            <v>0</v>
          </cell>
          <cell r="AF51">
            <v>0</v>
          </cell>
          <cell r="AG51">
            <v>0</v>
          </cell>
          <cell r="AH51">
            <v>0</v>
          </cell>
          <cell r="AI51">
            <v>14489</v>
          </cell>
          <cell r="AJ51">
            <v>1258</v>
          </cell>
          <cell r="AK51">
            <v>437</v>
          </cell>
          <cell r="AL51">
            <v>821</v>
          </cell>
          <cell r="AM51">
            <v>820</v>
          </cell>
        </row>
        <row r="52">
          <cell r="A52">
            <v>45</v>
          </cell>
          <cell r="B52" t="str">
            <v>Cannock Chase</v>
          </cell>
          <cell r="C52" t="str">
            <v>E3431</v>
          </cell>
          <cell r="D52">
            <v>885663.06</v>
          </cell>
          <cell r="E52">
            <v>787.76</v>
          </cell>
          <cell r="F52">
            <v>0</v>
          </cell>
          <cell r="G52">
            <v>0</v>
          </cell>
          <cell r="H52">
            <v>833983.57</v>
          </cell>
          <cell r="I52">
            <v>3314.66</v>
          </cell>
          <cell r="J52">
            <v>7041.37</v>
          </cell>
          <cell r="K52">
            <v>12.31</v>
          </cell>
          <cell r="L52">
            <v>0</v>
          </cell>
          <cell r="M52">
            <v>0</v>
          </cell>
          <cell r="N52">
            <v>555797.6</v>
          </cell>
          <cell r="O52">
            <v>1834771.1</v>
          </cell>
          <cell r="P52">
            <v>0.9</v>
          </cell>
          <cell r="Q52">
            <v>1</v>
          </cell>
          <cell r="S52">
            <v>3196</v>
          </cell>
          <cell r="T52">
            <v>84361606</v>
          </cell>
          <cell r="U52">
            <v>312273.09000000003</v>
          </cell>
          <cell r="X52">
            <v>83</v>
          </cell>
          <cell r="Y52">
            <v>1</v>
          </cell>
          <cell r="Z52">
            <v>0</v>
          </cell>
          <cell r="AA52">
            <v>0</v>
          </cell>
          <cell r="AB52">
            <v>519</v>
          </cell>
          <cell r="AC52">
            <v>56</v>
          </cell>
          <cell r="AD52">
            <v>12</v>
          </cell>
          <cell r="AE52">
            <v>1</v>
          </cell>
          <cell r="AF52">
            <v>0</v>
          </cell>
          <cell r="AG52">
            <v>0</v>
          </cell>
          <cell r="AH52">
            <v>0</v>
          </cell>
          <cell r="AI52">
            <v>2118</v>
          </cell>
          <cell r="AJ52">
            <v>1013</v>
          </cell>
          <cell r="AK52">
            <v>641</v>
          </cell>
          <cell r="AL52">
            <v>372</v>
          </cell>
          <cell r="AM52">
            <v>105</v>
          </cell>
        </row>
        <row r="53">
          <cell r="A53">
            <v>46</v>
          </cell>
          <cell r="B53" t="str">
            <v>Canterbury</v>
          </cell>
          <cell r="C53" t="str">
            <v>E2232</v>
          </cell>
          <cell r="D53">
            <v>5953645.0800000001</v>
          </cell>
          <cell r="E53">
            <v>94492.73</v>
          </cell>
          <cell r="F53">
            <v>12811.36</v>
          </cell>
          <cell r="G53">
            <v>0</v>
          </cell>
          <cell r="H53">
            <v>1060758</v>
          </cell>
          <cell r="I53">
            <v>54290.21</v>
          </cell>
          <cell r="J53">
            <v>46713.04</v>
          </cell>
          <cell r="K53">
            <v>1079.74</v>
          </cell>
          <cell r="L53">
            <v>0</v>
          </cell>
          <cell r="M53">
            <v>7689.92</v>
          </cell>
          <cell r="N53">
            <v>934429.52</v>
          </cell>
          <cell r="O53">
            <v>2541046.9900000002</v>
          </cell>
          <cell r="P53">
            <v>0.9</v>
          </cell>
          <cell r="Q53">
            <v>1.0067999999999999</v>
          </cell>
          <cell r="S53">
            <v>5310</v>
          </cell>
          <cell r="T53">
            <v>135543662</v>
          </cell>
          <cell r="U53">
            <v>496160.07</v>
          </cell>
          <cell r="X53">
            <v>324</v>
          </cell>
          <cell r="Y53">
            <v>21</v>
          </cell>
          <cell r="Z53">
            <v>8</v>
          </cell>
          <cell r="AA53">
            <v>0</v>
          </cell>
          <cell r="AB53">
            <v>335</v>
          </cell>
          <cell r="AC53">
            <v>154</v>
          </cell>
          <cell r="AD53">
            <v>29</v>
          </cell>
          <cell r="AE53">
            <v>3</v>
          </cell>
          <cell r="AF53">
            <v>0</v>
          </cell>
          <cell r="AG53">
            <v>7</v>
          </cell>
          <cell r="AH53">
            <v>0</v>
          </cell>
          <cell r="AI53">
            <v>3019</v>
          </cell>
          <cell r="AJ53">
            <v>2013</v>
          </cell>
          <cell r="AK53">
            <v>1475</v>
          </cell>
          <cell r="AL53">
            <v>538</v>
          </cell>
          <cell r="AM53">
            <v>204</v>
          </cell>
        </row>
        <row r="54">
          <cell r="A54">
            <v>47</v>
          </cell>
          <cell r="B54" t="str">
            <v>Carlisle</v>
          </cell>
          <cell r="C54" t="str">
            <v>E0933</v>
          </cell>
          <cell r="D54">
            <v>3048898.47</v>
          </cell>
          <cell r="E54">
            <v>67051.199999999997</v>
          </cell>
          <cell r="F54">
            <v>32025.63</v>
          </cell>
          <cell r="G54">
            <v>0</v>
          </cell>
          <cell r="H54">
            <v>1294236.2</v>
          </cell>
          <cell r="I54">
            <v>14620.03</v>
          </cell>
          <cell r="J54">
            <v>48754.33</v>
          </cell>
          <cell r="K54">
            <v>251.9</v>
          </cell>
          <cell r="L54">
            <v>0</v>
          </cell>
          <cell r="M54">
            <v>3569.2</v>
          </cell>
          <cell r="N54">
            <v>714383.66</v>
          </cell>
          <cell r="O54">
            <v>1934157.01</v>
          </cell>
          <cell r="P54">
            <v>0.9</v>
          </cell>
          <cell r="Q54">
            <v>1</v>
          </cell>
          <cell r="S54">
            <v>4228</v>
          </cell>
          <cell r="T54">
            <v>104455661</v>
          </cell>
          <cell r="U54">
            <v>388423.06</v>
          </cell>
          <cell r="X54">
            <v>253</v>
          </cell>
          <cell r="Y54">
            <v>5</v>
          </cell>
          <cell r="Z54">
            <v>31</v>
          </cell>
          <cell r="AA54">
            <v>0</v>
          </cell>
          <cell r="AB54">
            <v>483</v>
          </cell>
          <cell r="AC54">
            <v>98</v>
          </cell>
          <cell r="AD54">
            <v>38</v>
          </cell>
          <cell r="AE54">
            <v>1</v>
          </cell>
          <cell r="AF54">
            <v>0</v>
          </cell>
          <cell r="AG54">
            <v>13</v>
          </cell>
          <cell r="AH54">
            <v>0</v>
          </cell>
          <cell r="AI54">
            <v>2920</v>
          </cell>
          <cell r="AJ54">
            <v>1223</v>
          </cell>
          <cell r="AK54">
            <v>901</v>
          </cell>
          <cell r="AL54">
            <v>322</v>
          </cell>
          <cell r="AM54">
            <v>65</v>
          </cell>
        </row>
        <row r="55">
          <cell r="A55">
            <v>48</v>
          </cell>
          <cell r="B55" t="str">
            <v>Castle Point</v>
          </cell>
          <cell r="C55" t="str">
            <v>E1534</v>
          </cell>
          <cell r="D55">
            <v>1077351.27</v>
          </cell>
          <cell r="E55">
            <v>8683.68</v>
          </cell>
          <cell r="F55">
            <v>0</v>
          </cell>
          <cell r="G55">
            <v>0</v>
          </cell>
          <cell r="H55">
            <v>128535.9</v>
          </cell>
          <cell r="I55">
            <v>12189.31</v>
          </cell>
          <cell r="J55">
            <v>23838.18</v>
          </cell>
          <cell r="K55">
            <v>542.73</v>
          </cell>
          <cell r="L55">
            <v>0</v>
          </cell>
          <cell r="M55">
            <v>0</v>
          </cell>
          <cell r="N55">
            <v>237589.96</v>
          </cell>
          <cell r="O55">
            <v>1459031.96</v>
          </cell>
          <cell r="P55">
            <v>0.9</v>
          </cell>
          <cell r="Q55">
            <v>1.0129999999999999</v>
          </cell>
          <cell r="S55">
            <v>1965</v>
          </cell>
          <cell r="T55">
            <v>39126805</v>
          </cell>
          <cell r="U55">
            <v>140260.79999999999</v>
          </cell>
          <cell r="X55">
            <v>70</v>
          </cell>
          <cell r="Y55">
            <v>6</v>
          </cell>
          <cell r="Z55">
            <v>0</v>
          </cell>
          <cell r="AA55">
            <v>0</v>
          </cell>
          <cell r="AB55">
            <v>69</v>
          </cell>
          <cell r="AC55">
            <v>43</v>
          </cell>
          <cell r="AD55">
            <v>16</v>
          </cell>
          <cell r="AE55">
            <v>6</v>
          </cell>
          <cell r="AF55">
            <v>0</v>
          </cell>
          <cell r="AG55">
            <v>0</v>
          </cell>
          <cell r="AH55">
            <v>0</v>
          </cell>
          <cell r="AI55">
            <v>1156</v>
          </cell>
          <cell r="AJ55">
            <v>741</v>
          </cell>
          <cell r="AK55">
            <v>407</v>
          </cell>
          <cell r="AL55">
            <v>334</v>
          </cell>
          <cell r="AM55">
            <v>60</v>
          </cell>
        </row>
        <row r="56">
          <cell r="A56">
            <v>49</v>
          </cell>
          <cell r="B56" t="str">
            <v>Central Bedfordshire UA</v>
          </cell>
          <cell r="C56" t="str">
            <v>E0203</v>
          </cell>
          <cell r="D56">
            <v>4813824.0599999996</v>
          </cell>
          <cell r="E56">
            <v>107393.18</v>
          </cell>
          <cell r="F56">
            <v>47558.75</v>
          </cell>
          <cell r="G56">
            <v>50000</v>
          </cell>
          <cell r="H56">
            <v>2082478.41</v>
          </cell>
          <cell r="I56">
            <v>70783.11</v>
          </cell>
          <cell r="J56">
            <v>204315.77</v>
          </cell>
          <cell r="K56">
            <v>0</v>
          </cell>
          <cell r="L56">
            <v>22378.75</v>
          </cell>
          <cell r="M56">
            <v>11508.02</v>
          </cell>
          <cell r="N56">
            <v>1375984.37</v>
          </cell>
          <cell r="O56">
            <v>3467517.65</v>
          </cell>
          <cell r="P56">
            <v>1.3</v>
          </cell>
          <cell r="Q56">
            <v>1.0392999999999999</v>
          </cell>
          <cell r="S56">
            <v>6901</v>
          </cell>
          <cell r="T56">
            <v>199410596</v>
          </cell>
          <cell r="U56">
            <v>841282.48</v>
          </cell>
          <cell r="X56">
            <v>325</v>
          </cell>
          <cell r="Y56">
            <v>10</v>
          </cell>
          <cell r="Z56">
            <v>34</v>
          </cell>
          <cell r="AA56">
            <v>0</v>
          </cell>
          <cell r="AB56">
            <v>377</v>
          </cell>
          <cell r="AC56">
            <v>209</v>
          </cell>
          <cell r="AD56">
            <v>58</v>
          </cell>
          <cell r="AE56">
            <v>0</v>
          </cell>
          <cell r="AF56">
            <v>24</v>
          </cell>
          <cell r="AG56">
            <v>5</v>
          </cell>
          <cell r="AH56">
            <v>0</v>
          </cell>
          <cell r="AI56">
            <v>2836</v>
          </cell>
          <cell r="AJ56">
            <v>2000</v>
          </cell>
          <cell r="AK56">
            <v>1117</v>
          </cell>
          <cell r="AL56">
            <v>883</v>
          </cell>
          <cell r="AM56">
            <v>2076</v>
          </cell>
        </row>
        <row r="57">
          <cell r="A57">
            <v>50</v>
          </cell>
          <cell r="B57" t="str">
            <v>Charnwood</v>
          </cell>
          <cell r="C57" t="str">
            <v>E2432</v>
          </cell>
          <cell r="D57">
            <v>4029163.3</v>
          </cell>
          <cell r="E57">
            <v>14861.1</v>
          </cell>
          <cell r="F57">
            <v>1109.19</v>
          </cell>
          <cell r="G57">
            <v>115695.24</v>
          </cell>
          <cell r="H57">
            <v>1611166.15</v>
          </cell>
          <cell r="I57">
            <v>15397.87</v>
          </cell>
          <cell r="J57">
            <v>124371.95</v>
          </cell>
          <cell r="K57">
            <v>97.9</v>
          </cell>
          <cell r="L57">
            <v>0</v>
          </cell>
          <cell r="M57">
            <v>0</v>
          </cell>
          <cell r="N57">
            <v>791123.28</v>
          </cell>
          <cell r="O57">
            <v>2635895.64</v>
          </cell>
          <cell r="P57">
            <v>0.9</v>
          </cell>
          <cell r="Q57">
            <v>1</v>
          </cell>
          <cell r="S57">
            <v>4509</v>
          </cell>
          <cell r="T57">
            <v>116720663</v>
          </cell>
          <cell r="U57">
            <v>425837.99</v>
          </cell>
          <cell r="X57">
            <v>184</v>
          </cell>
          <cell r="Y57">
            <v>9</v>
          </cell>
          <cell r="Z57">
            <v>1</v>
          </cell>
          <cell r="AA57">
            <v>2</v>
          </cell>
          <cell r="AB57">
            <v>563</v>
          </cell>
          <cell r="AC57">
            <v>82</v>
          </cell>
          <cell r="AD57">
            <v>31</v>
          </cell>
          <cell r="AE57">
            <v>2</v>
          </cell>
          <cell r="AF57">
            <v>0</v>
          </cell>
          <cell r="AG57">
            <v>0</v>
          </cell>
          <cell r="AH57">
            <v>0</v>
          </cell>
          <cell r="AI57">
            <v>2769</v>
          </cell>
          <cell r="AJ57">
            <v>1609</v>
          </cell>
          <cell r="AK57">
            <v>1118</v>
          </cell>
          <cell r="AL57">
            <v>491</v>
          </cell>
          <cell r="AM57">
            <v>147</v>
          </cell>
        </row>
        <row r="58">
          <cell r="A58">
            <v>51</v>
          </cell>
          <cell r="B58" t="str">
            <v>Chelmsford</v>
          </cell>
          <cell r="C58" t="str">
            <v>E1535</v>
          </cell>
          <cell r="D58">
            <v>3898241.57</v>
          </cell>
          <cell r="E58">
            <v>30687.66</v>
          </cell>
          <cell r="F58">
            <v>9251.65</v>
          </cell>
          <cell r="G58">
            <v>22837.26</v>
          </cell>
          <cell r="H58">
            <v>2410276.5299999998</v>
          </cell>
          <cell r="I58">
            <v>1501.33</v>
          </cell>
          <cell r="J58">
            <v>53449.74</v>
          </cell>
          <cell r="K58">
            <v>0</v>
          </cell>
          <cell r="L58">
            <v>1097.48</v>
          </cell>
          <cell r="M58">
            <v>0</v>
          </cell>
          <cell r="N58">
            <v>1401144.58</v>
          </cell>
          <cell r="O58">
            <v>1827714.5</v>
          </cell>
          <cell r="P58">
            <v>0.9</v>
          </cell>
          <cell r="Q58">
            <v>1.0129999999999999</v>
          </cell>
          <cell r="S58">
            <v>4588</v>
          </cell>
          <cell r="T58">
            <v>191045521</v>
          </cell>
          <cell r="U58">
            <v>751817.05</v>
          </cell>
          <cell r="X58">
            <v>235</v>
          </cell>
          <cell r="Y58">
            <v>9</v>
          </cell>
          <cell r="Z58">
            <v>7</v>
          </cell>
          <cell r="AA58">
            <v>1</v>
          </cell>
          <cell r="AB58">
            <v>545</v>
          </cell>
          <cell r="AC58">
            <v>17</v>
          </cell>
          <cell r="AD58">
            <v>17</v>
          </cell>
          <cell r="AE58">
            <v>0</v>
          </cell>
          <cell r="AF58">
            <v>2</v>
          </cell>
          <cell r="AG58">
            <v>0</v>
          </cell>
          <cell r="AH58">
            <v>0</v>
          </cell>
          <cell r="AI58">
            <v>2282</v>
          </cell>
          <cell r="AJ58">
            <v>1038</v>
          </cell>
          <cell r="AK58">
            <v>532</v>
          </cell>
          <cell r="AL58">
            <v>506</v>
          </cell>
          <cell r="AM58">
            <v>1231</v>
          </cell>
        </row>
        <row r="59">
          <cell r="A59">
            <v>52</v>
          </cell>
          <cell r="B59" t="str">
            <v>Cheltenham</v>
          </cell>
          <cell r="C59" t="str">
            <v>E1631</v>
          </cell>
          <cell r="D59">
            <v>3504519</v>
          </cell>
          <cell r="E59">
            <v>25619</v>
          </cell>
          <cell r="F59">
            <v>0</v>
          </cell>
          <cell r="G59">
            <v>259128</v>
          </cell>
          <cell r="H59">
            <v>2060200</v>
          </cell>
          <cell r="I59">
            <v>3498</v>
          </cell>
          <cell r="J59">
            <v>5518</v>
          </cell>
          <cell r="K59">
            <v>0</v>
          </cell>
          <cell r="L59">
            <v>0</v>
          </cell>
          <cell r="M59">
            <v>0</v>
          </cell>
          <cell r="N59">
            <v>999735</v>
          </cell>
          <cell r="O59">
            <v>1777230</v>
          </cell>
          <cell r="P59">
            <v>0.9</v>
          </cell>
          <cell r="Q59">
            <v>1.0197000000000001</v>
          </cell>
          <cell r="S59">
            <v>3937</v>
          </cell>
          <cell r="T59">
            <v>134218844</v>
          </cell>
          <cell r="U59">
            <v>519928.75</v>
          </cell>
          <cell r="X59">
            <v>192</v>
          </cell>
          <cell r="Y59">
            <v>8</v>
          </cell>
          <cell r="Z59">
            <v>0</v>
          </cell>
          <cell r="AA59">
            <v>6</v>
          </cell>
          <cell r="AB59">
            <v>352</v>
          </cell>
          <cell r="AC59">
            <v>15</v>
          </cell>
          <cell r="AD59">
            <v>2</v>
          </cell>
          <cell r="AE59">
            <v>0</v>
          </cell>
          <cell r="AF59">
            <v>0</v>
          </cell>
          <cell r="AG59">
            <v>0</v>
          </cell>
          <cell r="AH59">
            <v>0</v>
          </cell>
          <cell r="AI59">
            <v>2671</v>
          </cell>
          <cell r="AJ59">
            <v>997</v>
          </cell>
          <cell r="AK59">
            <v>602</v>
          </cell>
          <cell r="AL59">
            <v>395</v>
          </cell>
          <cell r="AM59">
            <v>288</v>
          </cell>
        </row>
        <row r="60">
          <cell r="A60">
            <v>53</v>
          </cell>
          <cell r="B60" t="str">
            <v>Cherwell</v>
          </cell>
          <cell r="C60" t="str">
            <v>E3131</v>
          </cell>
          <cell r="D60">
            <v>1796963.78</v>
          </cell>
          <cell r="E60">
            <v>49852.35</v>
          </cell>
          <cell r="F60">
            <v>53234.43</v>
          </cell>
          <cell r="G60">
            <v>0</v>
          </cell>
          <cell r="H60">
            <v>1895634</v>
          </cell>
          <cell r="I60">
            <v>14362.42</v>
          </cell>
          <cell r="J60">
            <v>207090.65</v>
          </cell>
          <cell r="K60">
            <v>0</v>
          </cell>
          <cell r="L60">
            <v>38637.660000000003</v>
          </cell>
          <cell r="M60">
            <v>12761.02</v>
          </cell>
          <cell r="N60">
            <v>1173172.5</v>
          </cell>
          <cell r="O60">
            <v>1560258.66</v>
          </cell>
          <cell r="P60">
            <v>0.9</v>
          </cell>
          <cell r="Q60">
            <v>1.0533999999999999</v>
          </cell>
          <cell r="S60">
            <v>4439</v>
          </cell>
          <cell r="T60">
            <v>164536555</v>
          </cell>
          <cell r="U60">
            <v>662882.55000000005</v>
          </cell>
          <cell r="X60">
            <v>212</v>
          </cell>
          <cell r="Y60">
            <v>4</v>
          </cell>
          <cell r="Z60">
            <v>43</v>
          </cell>
          <cell r="AA60">
            <v>0</v>
          </cell>
          <cell r="AB60">
            <v>429</v>
          </cell>
          <cell r="AC60">
            <v>91</v>
          </cell>
          <cell r="AD60">
            <v>61</v>
          </cell>
          <cell r="AE60">
            <v>0</v>
          </cell>
          <cell r="AF60">
            <v>42</v>
          </cell>
          <cell r="AG60">
            <v>4</v>
          </cell>
          <cell r="AH60">
            <v>0</v>
          </cell>
          <cell r="AI60">
            <v>3446</v>
          </cell>
          <cell r="AJ60">
            <v>897</v>
          </cell>
          <cell r="AK60">
            <v>528</v>
          </cell>
          <cell r="AL60">
            <v>369</v>
          </cell>
          <cell r="AM60">
            <v>106</v>
          </cell>
        </row>
        <row r="61">
          <cell r="A61">
            <v>54</v>
          </cell>
          <cell r="B61" t="str">
            <v>Cheshire East UA</v>
          </cell>
          <cell r="C61" t="str">
            <v>E0603</v>
          </cell>
          <cell r="D61">
            <v>5044930.6399999997</v>
          </cell>
          <cell r="E61">
            <v>71164.77</v>
          </cell>
          <cell r="F61">
            <v>27908.33</v>
          </cell>
          <cell r="G61">
            <v>111339.8</v>
          </cell>
          <cell r="H61">
            <v>5422534.8099999996</v>
          </cell>
          <cell r="I61">
            <v>47056.4</v>
          </cell>
          <cell r="J61">
            <v>71503.22</v>
          </cell>
          <cell r="K61">
            <v>718.5</v>
          </cell>
          <cell r="L61">
            <v>11764.22</v>
          </cell>
          <cell r="M61">
            <v>7552.29</v>
          </cell>
          <cell r="N61">
            <v>2310695.29</v>
          </cell>
          <cell r="O61">
            <v>6335685.0099999998</v>
          </cell>
          <cell r="P61">
            <v>1.3</v>
          </cell>
          <cell r="Q61">
            <v>1.0129999999999999</v>
          </cell>
          <cell r="S61">
            <v>12809</v>
          </cell>
          <cell r="T61">
            <v>341021140</v>
          </cell>
          <cell r="U61">
            <v>1428585.67</v>
          </cell>
          <cell r="X61">
            <v>490</v>
          </cell>
          <cell r="Y61">
            <v>29</v>
          </cell>
          <cell r="Z61">
            <v>25</v>
          </cell>
          <cell r="AA61">
            <v>2</v>
          </cell>
          <cell r="AB61">
            <v>1742</v>
          </cell>
          <cell r="AC61">
            <v>288</v>
          </cell>
          <cell r="AD61">
            <v>114</v>
          </cell>
          <cell r="AE61">
            <v>19</v>
          </cell>
          <cell r="AF61">
            <v>18</v>
          </cell>
          <cell r="AG61">
            <v>13</v>
          </cell>
          <cell r="AH61">
            <v>0</v>
          </cell>
          <cell r="AI61">
            <v>8526</v>
          </cell>
          <cell r="AJ61">
            <v>3693</v>
          </cell>
          <cell r="AK61">
            <v>2392</v>
          </cell>
          <cell r="AL61">
            <v>1301</v>
          </cell>
          <cell r="AM61">
            <v>489</v>
          </cell>
        </row>
        <row r="62">
          <cell r="A62">
            <v>55</v>
          </cell>
          <cell r="B62" t="str">
            <v>Cheshire West &amp; Chester UA</v>
          </cell>
          <cell r="C62" t="str">
            <v>E0604</v>
          </cell>
          <cell r="D62">
            <v>5857839.5199999996</v>
          </cell>
          <cell r="E62">
            <v>49758.95</v>
          </cell>
          <cell r="F62">
            <v>54472.1</v>
          </cell>
          <cell r="G62">
            <v>0</v>
          </cell>
          <cell r="H62">
            <v>6500026</v>
          </cell>
          <cell r="I62">
            <v>179558.46</v>
          </cell>
          <cell r="J62">
            <v>636443.9</v>
          </cell>
          <cell r="K62">
            <v>1376.19</v>
          </cell>
          <cell r="L62">
            <v>40854.080000000002</v>
          </cell>
          <cell r="M62">
            <v>0</v>
          </cell>
          <cell r="N62">
            <v>2737078.38</v>
          </cell>
          <cell r="O62">
            <v>4738527.92</v>
          </cell>
          <cell r="P62">
            <v>1.3</v>
          </cell>
          <cell r="Q62">
            <v>1.0129999999999999</v>
          </cell>
          <cell r="S62">
            <v>10794</v>
          </cell>
          <cell r="T62">
            <v>378608063</v>
          </cell>
          <cell r="U62">
            <v>1613920.94</v>
          </cell>
          <cell r="X62">
            <v>592</v>
          </cell>
          <cell r="Y62">
            <v>15</v>
          </cell>
          <cell r="Z62">
            <v>39</v>
          </cell>
          <cell r="AA62">
            <v>0</v>
          </cell>
          <cell r="AB62">
            <v>1633</v>
          </cell>
          <cell r="AC62">
            <v>497</v>
          </cell>
          <cell r="AD62">
            <v>77</v>
          </cell>
          <cell r="AE62">
            <v>13</v>
          </cell>
          <cell r="AF62">
            <v>39</v>
          </cell>
          <cell r="AG62">
            <v>0</v>
          </cell>
          <cell r="AH62">
            <v>0</v>
          </cell>
          <cell r="AI62">
            <v>7793</v>
          </cell>
          <cell r="AJ62">
            <v>2728</v>
          </cell>
          <cell r="AK62">
            <v>1841</v>
          </cell>
          <cell r="AL62">
            <v>887</v>
          </cell>
          <cell r="AM62">
            <v>203</v>
          </cell>
        </row>
        <row r="63">
          <cell r="A63">
            <v>56</v>
          </cell>
          <cell r="B63" t="str">
            <v>Chesterfield</v>
          </cell>
          <cell r="C63" t="str">
            <v>E1033</v>
          </cell>
          <cell r="D63">
            <v>1031233.99</v>
          </cell>
          <cell r="E63">
            <v>16233.61</v>
          </cell>
          <cell r="F63">
            <v>3068.6</v>
          </cell>
          <cell r="G63">
            <v>0</v>
          </cell>
          <cell r="H63">
            <v>943288.65</v>
          </cell>
          <cell r="I63">
            <v>7921.8</v>
          </cell>
          <cell r="J63">
            <v>18781.7</v>
          </cell>
          <cell r="K63">
            <v>183.66</v>
          </cell>
          <cell r="L63">
            <v>0</v>
          </cell>
          <cell r="M63">
            <v>0</v>
          </cell>
          <cell r="N63">
            <v>575381.43999999994</v>
          </cell>
          <cell r="O63">
            <v>2115486.4</v>
          </cell>
          <cell r="P63">
            <v>0.9</v>
          </cell>
          <cell r="Q63">
            <v>1</v>
          </cell>
          <cell r="S63">
            <v>3949</v>
          </cell>
          <cell r="T63">
            <v>87813574</v>
          </cell>
          <cell r="U63">
            <v>339606.88</v>
          </cell>
          <cell r="X63">
            <v>151</v>
          </cell>
          <cell r="Y63">
            <v>5</v>
          </cell>
          <cell r="Z63">
            <v>4</v>
          </cell>
          <cell r="AA63">
            <v>0</v>
          </cell>
          <cell r="AB63">
            <v>500</v>
          </cell>
          <cell r="AC63">
            <v>45</v>
          </cell>
          <cell r="AD63">
            <v>8</v>
          </cell>
          <cell r="AE63">
            <v>3</v>
          </cell>
          <cell r="AF63">
            <v>0</v>
          </cell>
          <cell r="AG63">
            <v>0</v>
          </cell>
          <cell r="AH63">
            <v>0</v>
          </cell>
          <cell r="AI63">
            <v>2591</v>
          </cell>
          <cell r="AJ63">
            <v>1259</v>
          </cell>
          <cell r="AK63">
            <v>929</v>
          </cell>
          <cell r="AL63">
            <v>330</v>
          </cell>
          <cell r="AM63">
            <v>78</v>
          </cell>
        </row>
        <row r="64">
          <cell r="A64">
            <v>57</v>
          </cell>
          <cell r="B64" t="str">
            <v>Chichester</v>
          </cell>
          <cell r="C64" t="str">
            <v>E3833</v>
          </cell>
          <cell r="D64">
            <v>2817566.28</v>
          </cell>
          <cell r="E64">
            <v>29382.83</v>
          </cell>
          <cell r="F64">
            <v>34945.06</v>
          </cell>
          <cell r="G64">
            <v>0</v>
          </cell>
          <cell r="H64">
            <v>814844</v>
          </cell>
          <cell r="I64">
            <v>25000</v>
          </cell>
          <cell r="J64">
            <v>10000</v>
          </cell>
          <cell r="K64">
            <v>0</v>
          </cell>
          <cell r="L64">
            <v>25736.720000000001</v>
          </cell>
          <cell r="M64">
            <v>8543.3799999999992</v>
          </cell>
          <cell r="N64">
            <v>724864.67</v>
          </cell>
          <cell r="O64">
            <v>2337074.65</v>
          </cell>
          <cell r="P64">
            <v>0.9</v>
          </cell>
          <cell r="Q64">
            <v>1</v>
          </cell>
          <cell r="S64">
            <v>4520</v>
          </cell>
          <cell r="T64">
            <v>108091566</v>
          </cell>
          <cell r="U64">
            <v>408838.44</v>
          </cell>
          <cell r="X64">
            <v>234</v>
          </cell>
          <cell r="Y64">
            <v>19</v>
          </cell>
          <cell r="Z64">
            <v>28</v>
          </cell>
          <cell r="AA64">
            <v>0</v>
          </cell>
          <cell r="AB64">
            <v>178</v>
          </cell>
          <cell r="AC64">
            <v>0</v>
          </cell>
          <cell r="AD64">
            <v>3</v>
          </cell>
          <cell r="AE64">
            <v>0</v>
          </cell>
          <cell r="AF64">
            <v>30</v>
          </cell>
          <cell r="AG64">
            <v>6</v>
          </cell>
          <cell r="AH64">
            <v>0</v>
          </cell>
          <cell r="AI64">
            <v>2731</v>
          </cell>
          <cell r="AJ64">
            <v>1625</v>
          </cell>
          <cell r="AK64">
            <v>1147</v>
          </cell>
          <cell r="AL64">
            <v>478</v>
          </cell>
          <cell r="AM64">
            <v>137</v>
          </cell>
        </row>
        <row r="65">
          <cell r="A65">
            <v>58</v>
          </cell>
          <cell r="B65" t="str">
            <v>Chiltern</v>
          </cell>
          <cell r="C65" t="str">
            <v>E0432</v>
          </cell>
          <cell r="D65">
            <v>1982158.99</v>
          </cell>
          <cell r="E65">
            <v>23770.2</v>
          </cell>
          <cell r="F65">
            <v>19842.87</v>
          </cell>
          <cell r="G65">
            <v>0</v>
          </cell>
          <cell r="H65">
            <v>488845.09</v>
          </cell>
          <cell r="I65">
            <v>24696.67</v>
          </cell>
          <cell r="J65">
            <v>33974</v>
          </cell>
          <cell r="K65">
            <v>636.04999999999995</v>
          </cell>
          <cell r="L65">
            <v>5374.44</v>
          </cell>
          <cell r="M65">
            <v>0</v>
          </cell>
          <cell r="N65">
            <v>333539.26</v>
          </cell>
          <cell r="O65">
            <v>1166609.05</v>
          </cell>
          <cell r="P65">
            <v>0.9</v>
          </cell>
          <cell r="Q65">
            <v>1.0815999999999999</v>
          </cell>
          <cell r="S65">
            <v>2622</v>
          </cell>
          <cell r="T65">
            <v>54744554</v>
          </cell>
          <cell r="U65">
            <v>202125.97</v>
          </cell>
          <cell r="X65">
            <v>177</v>
          </cell>
          <cell r="Y65">
            <v>5</v>
          </cell>
          <cell r="Z65">
            <v>16</v>
          </cell>
          <cell r="AA65">
            <v>0</v>
          </cell>
          <cell r="AB65">
            <v>107</v>
          </cell>
          <cell r="AC65">
            <v>37</v>
          </cell>
          <cell r="AD65">
            <v>29</v>
          </cell>
          <cell r="AE65">
            <v>3</v>
          </cell>
          <cell r="AF65">
            <v>7</v>
          </cell>
          <cell r="AG65">
            <v>0</v>
          </cell>
          <cell r="AH65">
            <v>0</v>
          </cell>
          <cell r="AI65">
            <v>1856</v>
          </cell>
          <cell r="AJ65">
            <v>647</v>
          </cell>
          <cell r="AK65">
            <v>372</v>
          </cell>
          <cell r="AL65">
            <v>275</v>
          </cell>
          <cell r="AM65">
            <v>104</v>
          </cell>
        </row>
        <row r="66">
          <cell r="A66">
            <v>59</v>
          </cell>
          <cell r="B66" t="str">
            <v>Chorley</v>
          </cell>
          <cell r="C66" t="str">
            <v>E2334</v>
          </cell>
          <cell r="D66">
            <v>1769608.85</v>
          </cell>
          <cell r="E66">
            <v>26793.14</v>
          </cell>
          <cell r="F66">
            <v>6127.64</v>
          </cell>
          <cell r="G66">
            <v>0</v>
          </cell>
          <cell r="H66">
            <v>412149.26</v>
          </cell>
          <cell r="I66">
            <v>2028.94</v>
          </cell>
          <cell r="J66">
            <v>0</v>
          </cell>
          <cell r="K66">
            <v>0</v>
          </cell>
          <cell r="L66">
            <v>0</v>
          </cell>
          <cell r="M66">
            <v>0</v>
          </cell>
          <cell r="N66">
            <v>455997.88</v>
          </cell>
          <cell r="O66">
            <v>1905653.17</v>
          </cell>
          <cell r="P66">
            <v>0.9</v>
          </cell>
          <cell r="Q66">
            <v>1</v>
          </cell>
          <cell r="S66">
            <v>3222</v>
          </cell>
          <cell r="T66">
            <v>68226972</v>
          </cell>
          <cell r="U66">
            <v>255963.87</v>
          </cell>
          <cell r="X66">
            <v>163</v>
          </cell>
          <cell r="Y66">
            <v>19</v>
          </cell>
          <cell r="Z66">
            <v>7</v>
          </cell>
          <cell r="AA66">
            <v>0</v>
          </cell>
          <cell r="AB66">
            <v>423</v>
          </cell>
          <cell r="AC66">
            <v>14</v>
          </cell>
          <cell r="AD66">
            <v>0</v>
          </cell>
          <cell r="AE66">
            <v>0</v>
          </cell>
          <cell r="AF66">
            <v>0</v>
          </cell>
          <cell r="AG66">
            <v>0</v>
          </cell>
          <cell r="AH66">
            <v>0</v>
          </cell>
          <cell r="AI66">
            <v>1954</v>
          </cell>
          <cell r="AJ66">
            <v>1146</v>
          </cell>
          <cell r="AK66">
            <v>837</v>
          </cell>
          <cell r="AL66">
            <v>309</v>
          </cell>
          <cell r="AM66">
            <v>69</v>
          </cell>
        </row>
        <row r="67">
          <cell r="A67">
            <v>60</v>
          </cell>
          <cell r="B67" t="str">
            <v>Christchurch</v>
          </cell>
          <cell r="C67" t="str">
            <v>E1232</v>
          </cell>
          <cell r="D67">
            <v>561277.92000000004</v>
          </cell>
          <cell r="E67">
            <v>30999.17</v>
          </cell>
          <cell r="F67">
            <v>1558.39</v>
          </cell>
          <cell r="G67">
            <v>0</v>
          </cell>
          <cell r="H67">
            <v>188757.55</v>
          </cell>
          <cell r="I67">
            <v>5893.39</v>
          </cell>
          <cell r="J67">
            <v>30451.27</v>
          </cell>
          <cell r="K67">
            <v>1392.43</v>
          </cell>
          <cell r="L67">
            <v>0</v>
          </cell>
          <cell r="M67">
            <v>20660.75</v>
          </cell>
          <cell r="N67">
            <v>297752.32000000001</v>
          </cell>
          <cell r="O67">
            <v>1004848.91</v>
          </cell>
          <cell r="P67">
            <v>0.9</v>
          </cell>
          <cell r="Q67">
            <v>1</v>
          </cell>
          <cell r="S67">
            <v>1746</v>
          </cell>
          <cell r="T67">
            <v>44719740</v>
          </cell>
          <cell r="U67">
            <v>174127.73</v>
          </cell>
          <cell r="X67">
            <v>64</v>
          </cell>
          <cell r="Y67">
            <v>14</v>
          </cell>
          <cell r="Z67">
            <v>0</v>
          </cell>
          <cell r="AA67">
            <v>0</v>
          </cell>
          <cell r="AB67">
            <v>150</v>
          </cell>
          <cell r="AC67">
            <v>52</v>
          </cell>
          <cell r="AD67">
            <v>14</v>
          </cell>
          <cell r="AE67">
            <v>3</v>
          </cell>
          <cell r="AF67">
            <v>0</v>
          </cell>
          <cell r="AG67">
            <v>0</v>
          </cell>
          <cell r="AH67">
            <v>0</v>
          </cell>
          <cell r="AI67">
            <v>1082</v>
          </cell>
          <cell r="AJ67">
            <v>657</v>
          </cell>
          <cell r="AK67">
            <v>445</v>
          </cell>
          <cell r="AL67">
            <v>212</v>
          </cell>
          <cell r="AM67">
            <v>64</v>
          </cell>
        </row>
        <row r="68">
          <cell r="A68">
            <v>61</v>
          </cell>
          <cell r="B68" t="str">
            <v>City of London</v>
          </cell>
          <cell r="C68" t="str">
            <v>E5010</v>
          </cell>
          <cell r="D68">
            <v>9361050.5600000005</v>
          </cell>
          <cell r="E68">
            <v>0</v>
          </cell>
          <cell r="F68">
            <v>0</v>
          </cell>
          <cell r="G68">
            <v>40744.07</v>
          </cell>
          <cell r="H68">
            <v>36932864.100000001</v>
          </cell>
          <cell r="I68">
            <v>29088.69</v>
          </cell>
          <cell r="J68">
            <v>601997.55000000005</v>
          </cell>
          <cell r="K68">
            <v>0</v>
          </cell>
          <cell r="L68">
            <v>0</v>
          </cell>
          <cell r="M68">
            <v>0</v>
          </cell>
          <cell r="N68">
            <v>14158905.939999999</v>
          </cell>
          <cell r="O68">
            <v>319235.28000000003</v>
          </cell>
          <cell r="P68">
            <v>1.1000000000000001</v>
          </cell>
          <cell r="Q68">
            <v>1.4058999999999999</v>
          </cell>
          <cell r="S68">
            <v>16748</v>
          </cell>
          <cell r="T68">
            <v>1837863718</v>
          </cell>
          <cell r="U68">
            <v>9714483.5099999998</v>
          </cell>
          <cell r="X68">
            <v>201</v>
          </cell>
          <cell r="Y68">
            <v>0</v>
          </cell>
          <cell r="Z68">
            <v>0</v>
          </cell>
          <cell r="AA68">
            <v>1</v>
          </cell>
          <cell r="AB68">
            <v>2941</v>
          </cell>
          <cell r="AC68">
            <v>22</v>
          </cell>
          <cell r="AD68">
            <v>4</v>
          </cell>
          <cell r="AE68">
            <v>0</v>
          </cell>
          <cell r="AF68">
            <v>0</v>
          </cell>
          <cell r="AG68">
            <v>0</v>
          </cell>
          <cell r="AH68">
            <v>0</v>
          </cell>
          <cell r="AI68">
            <v>8681</v>
          </cell>
          <cell r="AJ68">
            <v>187</v>
          </cell>
          <cell r="AK68">
            <v>60</v>
          </cell>
          <cell r="AL68">
            <v>127</v>
          </cell>
          <cell r="AM68">
            <v>7743</v>
          </cell>
        </row>
        <row r="69">
          <cell r="A69">
            <v>62</v>
          </cell>
          <cell r="B69" t="str">
            <v>Colchester</v>
          </cell>
          <cell r="C69" t="str">
            <v>E1536</v>
          </cell>
          <cell r="D69">
            <v>3866434.72</v>
          </cell>
          <cell r="E69">
            <v>49079.28</v>
          </cell>
          <cell r="F69">
            <v>19342.490000000002</v>
          </cell>
          <cell r="G69">
            <v>44920.86</v>
          </cell>
          <cell r="H69">
            <v>2993134.22</v>
          </cell>
          <cell r="I69">
            <v>24232.33</v>
          </cell>
          <cell r="J69">
            <v>22871.73</v>
          </cell>
          <cell r="K69">
            <v>2985.02</v>
          </cell>
          <cell r="L69">
            <v>14506.87</v>
          </cell>
          <cell r="M69">
            <v>0</v>
          </cell>
          <cell r="N69">
            <v>1095700.81</v>
          </cell>
          <cell r="O69">
            <v>2199145.98</v>
          </cell>
          <cell r="P69">
            <v>0.9</v>
          </cell>
          <cell r="Q69">
            <v>1.0129999999999999</v>
          </cell>
          <cell r="S69">
            <v>5409</v>
          </cell>
          <cell r="T69">
            <v>154476534</v>
          </cell>
          <cell r="U69">
            <v>584254.89</v>
          </cell>
          <cell r="X69">
            <v>324</v>
          </cell>
          <cell r="Y69">
            <v>16</v>
          </cell>
          <cell r="Z69">
            <v>16</v>
          </cell>
          <cell r="AA69">
            <v>8</v>
          </cell>
          <cell r="AB69">
            <v>786</v>
          </cell>
          <cell r="AC69">
            <v>185</v>
          </cell>
          <cell r="AD69">
            <v>19</v>
          </cell>
          <cell r="AE69">
            <v>17</v>
          </cell>
          <cell r="AF69">
            <v>16</v>
          </cell>
          <cell r="AG69">
            <v>0</v>
          </cell>
          <cell r="AH69">
            <v>0</v>
          </cell>
          <cell r="AI69">
            <v>3694</v>
          </cell>
          <cell r="AJ69">
            <v>1554</v>
          </cell>
          <cell r="AK69">
            <v>1039</v>
          </cell>
          <cell r="AL69">
            <v>515</v>
          </cell>
          <cell r="AM69">
            <v>126</v>
          </cell>
        </row>
        <row r="70">
          <cell r="A70">
            <v>63</v>
          </cell>
          <cell r="B70" t="str">
            <v>Copeland</v>
          </cell>
          <cell r="C70" t="str">
            <v>E0934</v>
          </cell>
          <cell r="D70">
            <v>938149.66</v>
          </cell>
          <cell r="E70">
            <v>62361.279999999999</v>
          </cell>
          <cell r="F70">
            <v>25183.1</v>
          </cell>
          <cell r="G70">
            <v>0</v>
          </cell>
          <cell r="H70">
            <v>385337.24</v>
          </cell>
          <cell r="I70">
            <v>0</v>
          </cell>
          <cell r="J70">
            <v>0</v>
          </cell>
          <cell r="K70">
            <v>0</v>
          </cell>
          <cell r="L70">
            <v>79.349999999999994</v>
          </cell>
          <cell r="M70">
            <v>0</v>
          </cell>
          <cell r="N70">
            <v>705390.28</v>
          </cell>
          <cell r="O70">
            <v>1115036.17</v>
          </cell>
          <cell r="P70">
            <v>0.9</v>
          </cell>
          <cell r="Q70">
            <v>1</v>
          </cell>
          <cell r="S70">
            <v>2349</v>
          </cell>
          <cell r="T70">
            <v>96680667</v>
          </cell>
          <cell r="U70">
            <v>391544.79</v>
          </cell>
          <cell r="X70">
            <v>165</v>
          </cell>
          <cell r="Y70">
            <v>17</v>
          </cell>
          <cell r="Z70">
            <v>30</v>
          </cell>
          <cell r="AA70">
            <v>0</v>
          </cell>
          <cell r="AB70">
            <v>269</v>
          </cell>
          <cell r="AC70">
            <v>0</v>
          </cell>
          <cell r="AD70">
            <v>0</v>
          </cell>
          <cell r="AE70">
            <v>0</v>
          </cell>
          <cell r="AF70">
            <v>1</v>
          </cell>
          <cell r="AG70">
            <v>0</v>
          </cell>
          <cell r="AH70">
            <v>0</v>
          </cell>
          <cell r="AI70">
            <v>1557</v>
          </cell>
          <cell r="AJ70">
            <v>748</v>
          </cell>
          <cell r="AK70">
            <v>608</v>
          </cell>
          <cell r="AL70">
            <v>140</v>
          </cell>
          <cell r="AM70">
            <v>28</v>
          </cell>
        </row>
        <row r="71">
          <cell r="A71">
            <v>64</v>
          </cell>
          <cell r="B71" t="str">
            <v>Corby</v>
          </cell>
          <cell r="C71" t="str">
            <v>E2831</v>
          </cell>
          <cell r="D71">
            <v>1553861.81</v>
          </cell>
          <cell r="E71">
            <v>952.6</v>
          </cell>
          <cell r="F71">
            <v>2381.5</v>
          </cell>
          <cell r="G71">
            <v>366246.95</v>
          </cell>
          <cell r="H71">
            <v>1703550.15</v>
          </cell>
          <cell r="I71">
            <v>238</v>
          </cell>
          <cell r="J71">
            <v>4106</v>
          </cell>
          <cell r="K71">
            <v>0</v>
          </cell>
          <cell r="L71">
            <v>0</v>
          </cell>
          <cell r="M71">
            <v>57.23</v>
          </cell>
          <cell r="N71">
            <v>620254.57999999996</v>
          </cell>
          <cell r="O71">
            <v>529860.17000000004</v>
          </cell>
          <cell r="P71">
            <v>0.9</v>
          </cell>
          <cell r="Q71">
            <v>1.0132000000000001</v>
          </cell>
          <cell r="S71">
            <v>1718</v>
          </cell>
          <cell r="T71">
            <v>80040248</v>
          </cell>
          <cell r="U71">
            <v>302160.84000000003</v>
          </cell>
          <cell r="X71">
            <v>71</v>
          </cell>
          <cell r="Y71">
            <v>1</v>
          </cell>
          <cell r="Z71">
            <v>5</v>
          </cell>
          <cell r="AA71">
            <v>16</v>
          </cell>
          <cell r="AB71">
            <v>130</v>
          </cell>
          <cell r="AC71">
            <v>0</v>
          </cell>
          <cell r="AD71">
            <v>2</v>
          </cell>
          <cell r="AE71">
            <v>0</v>
          </cell>
          <cell r="AF71">
            <v>0</v>
          </cell>
          <cell r="AG71">
            <v>4</v>
          </cell>
          <cell r="AH71">
            <v>0</v>
          </cell>
          <cell r="AI71">
            <v>1311</v>
          </cell>
          <cell r="AJ71">
            <v>414</v>
          </cell>
          <cell r="AK71">
            <v>272</v>
          </cell>
          <cell r="AL71">
            <v>142</v>
          </cell>
          <cell r="AM71">
            <v>-13</v>
          </cell>
        </row>
        <row r="72">
          <cell r="A72">
            <v>65</v>
          </cell>
          <cell r="B72" t="str">
            <v>Cornwall UA</v>
          </cell>
          <cell r="C72" t="str">
            <v>E0801</v>
          </cell>
          <cell r="D72">
            <v>10445408.390000001</v>
          </cell>
          <cell r="E72">
            <v>741422.16</v>
          </cell>
          <cell r="F72">
            <v>238559.88</v>
          </cell>
          <cell r="G72">
            <v>30692.240000000002</v>
          </cell>
          <cell r="H72">
            <v>3493079.9</v>
          </cell>
          <cell r="I72">
            <v>131718.32</v>
          </cell>
          <cell r="J72">
            <v>441893.67</v>
          </cell>
          <cell r="K72">
            <v>82660</v>
          </cell>
          <cell r="L72">
            <v>92276.74</v>
          </cell>
          <cell r="M72">
            <v>16716.46</v>
          </cell>
          <cell r="N72">
            <v>3058727.22</v>
          </cell>
          <cell r="O72">
            <v>16644950.59</v>
          </cell>
          <cell r="P72">
            <v>1.3</v>
          </cell>
          <cell r="Q72">
            <v>1</v>
          </cell>
          <cell r="S72">
            <v>27859</v>
          </cell>
          <cell r="T72">
            <v>420167104</v>
          </cell>
          <cell r="U72">
            <v>1611846.46</v>
          </cell>
          <cell r="X72">
            <v>1476</v>
          </cell>
          <cell r="Y72">
            <v>69</v>
          </cell>
          <cell r="Z72">
            <v>217</v>
          </cell>
          <cell r="AA72">
            <v>5</v>
          </cell>
          <cell r="AB72">
            <v>1897</v>
          </cell>
          <cell r="AC72">
            <v>899</v>
          </cell>
          <cell r="AD72">
            <v>285</v>
          </cell>
          <cell r="AE72">
            <v>17</v>
          </cell>
          <cell r="AF72">
            <v>132</v>
          </cell>
          <cell r="AG72">
            <v>20</v>
          </cell>
          <cell r="AH72">
            <v>0</v>
          </cell>
          <cell r="AI72">
            <v>15594</v>
          </cell>
          <cell r="AJ72">
            <v>10971</v>
          </cell>
          <cell r="AK72">
            <v>8394</v>
          </cell>
          <cell r="AL72">
            <v>2577</v>
          </cell>
          <cell r="AM72">
            <v>623</v>
          </cell>
        </row>
        <row r="73">
          <cell r="A73">
            <v>66</v>
          </cell>
          <cell r="B73" t="str">
            <v>Cotswold</v>
          </cell>
          <cell r="C73" t="str">
            <v>E1632</v>
          </cell>
          <cell r="D73">
            <v>1524581.79</v>
          </cell>
          <cell r="E73">
            <v>102714.48</v>
          </cell>
          <cell r="F73">
            <v>37355.589999999997</v>
          </cell>
          <cell r="G73">
            <v>17257.82</v>
          </cell>
          <cell r="H73">
            <v>642966</v>
          </cell>
          <cell r="I73">
            <v>4226.3100000000004</v>
          </cell>
          <cell r="J73">
            <v>6675.3</v>
          </cell>
          <cell r="K73">
            <v>51.3</v>
          </cell>
          <cell r="L73">
            <v>7291.02</v>
          </cell>
          <cell r="M73">
            <v>0</v>
          </cell>
          <cell r="N73">
            <v>451391.08</v>
          </cell>
          <cell r="O73">
            <v>2019813.13</v>
          </cell>
          <cell r="P73">
            <v>0.9</v>
          </cell>
          <cell r="Q73">
            <v>1.0197000000000001</v>
          </cell>
          <cell r="S73">
            <v>4386</v>
          </cell>
          <cell r="T73">
            <v>75286924</v>
          </cell>
          <cell r="U73">
            <v>285194</v>
          </cell>
          <cell r="X73">
            <v>261</v>
          </cell>
          <cell r="Y73">
            <v>18</v>
          </cell>
          <cell r="Z73">
            <v>36</v>
          </cell>
          <cell r="AA73">
            <v>0</v>
          </cell>
          <cell r="AB73">
            <v>315</v>
          </cell>
          <cell r="AC73">
            <v>102</v>
          </cell>
          <cell r="AD73">
            <v>29</v>
          </cell>
          <cell r="AE73">
            <v>1</v>
          </cell>
          <cell r="AF73">
            <v>15</v>
          </cell>
          <cell r="AG73">
            <v>0</v>
          </cell>
          <cell r="AH73">
            <v>0</v>
          </cell>
          <cell r="AI73">
            <v>3034</v>
          </cell>
          <cell r="AJ73">
            <v>1305</v>
          </cell>
          <cell r="AK73">
            <v>849</v>
          </cell>
          <cell r="AL73">
            <v>456</v>
          </cell>
          <cell r="AM73">
            <v>200</v>
          </cell>
        </row>
        <row r="74">
          <cell r="A74">
            <v>67</v>
          </cell>
          <cell r="B74" t="str">
            <v>Coventry</v>
          </cell>
          <cell r="C74" t="str">
            <v>E4602</v>
          </cell>
          <cell r="D74">
            <v>10292042.01</v>
          </cell>
          <cell r="E74">
            <v>25648</v>
          </cell>
          <cell r="F74">
            <v>0</v>
          </cell>
          <cell r="G74">
            <v>15250.65</v>
          </cell>
          <cell r="H74">
            <v>3277264.93</v>
          </cell>
          <cell r="I74">
            <v>200717.9</v>
          </cell>
          <cell r="J74">
            <v>196776.17</v>
          </cell>
          <cell r="K74">
            <v>1603</v>
          </cell>
          <cell r="L74">
            <v>0</v>
          </cell>
          <cell r="M74">
            <v>0</v>
          </cell>
          <cell r="N74">
            <v>2159162.0499999998</v>
          </cell>
          <cell r="O74">
            <v>4050726.69</v>
          </cell>
          <cell r="P74">
            <v>1.7</v>
          </cell>
          <cell r="Q74">
            <v>1.0134000000000001</v>
          </cell>
          <cell r="S74">
            <v>8017</v>
          </cell>
          <cell r="T74">
            <v>296670678</v>
          </cell>
          <cell r="U74">
            <v>1574354.49</v>
          </cell>
          <cell r="X74">
            <v>377</v>
          </cell>
          <cell r="Y74">
            <v>4</v>
          </cell>
          <cell r="Z74">
            <v>0</v>
          </cell>
          <cell r="AA74">
            <v>6</v>
          </cell>
          <cell r="AB74">
            <v>1135</v>
          </cell>
          <cell r="AC74">
            <v>194</v>
          </cell>
          <cell r="AD74">
            <v>39</v>
          </cell>
          <cell r="AE74">
            <v>4</v>
          </cell>
          <cell r="AF74">
            <v>0</v>
          </cell>
          <cell r="AG74">
            <v>0</v>
          </cell>
          <cell r="AH74">
            <v>0</v>
          </cell>
          <cell r="AI74">
            <v>3369</v>
          </cell>
          <cell r="AJ74">
            <v>2374</v>
          </cell>
          <cell r="AK74">
            <v>1661</v>
          </cell>
          <cell r="AL74">
            <v>713</v>
          </cell>
          <cell r="AM74">
            <v>2206</v>
          </cell>
        </row>
        <row r="75">
          <cell r="A75">
            <v>68</v>
          </cell>
          <cell r="B75" t="str">
            <v>Craven</v>
          </cell>
          <cell r="C75" t="str">
            <v>E2731</v>
          </cell>
          <cell r="D75">
            <v>1055313.71</v>
          </cell>
          <cell r="E75">
            <v>21587.24</v>
          </cell>
          <cell r="F75">
            <v>38877.519999999997</v>
          </cell>
          <cell r="G75">
            <v>0</v>
          </cell>
          <cell r="H75">
            <v>363342.19</v>
          </cell>
          <cell r="I75">
            <v>4946.9799999999996</v>
          </cell>
          <cell r="J75">
            <v>25363.55</v>
          </cell>
          <cell r="K75">
            <v>0</v>
          </cell>
          <cell r="L75">
            <v>24082.880000000001</v>
          </cell>
          <cell r="M75">
            <v>14157.47</v>
          </cell>
          <cell r="N75">
            <v>329641.09000000003</v>
          </cell>
          <cell r="O75">
            <v>1310084.4099999999</v>
          </cell>
          <cell r="P75">
            <v>0.9</v>
          </cell>
          <cell r="Q75">
            <v>1</v>
          </cell>
          <cell r="S75">
            <v>3006</v>
          </cell>
          <cell r="T75">
            <v>46942005</v>
          </cell>
          <cell r="U75">
            <v>175788.84</v>
          </cell>
          <cell r="X75">
            <v>178</v>
          </cell>
          <cell r="Y75">
            <v>6</v>
          </cell>
          <cell r="Z75">
            <v>77</v>
          </cell>
          <cell r="AA75">
            <v>0</v>
          </cell>
          <cell r="AB75">
            <v>177</v>
          </cell>
          <cell r="AC75">
            <v>59</v>
          </cell>
          <cell r="AD75">
            <v>51</v>
          </cell>
          <cell r="AE75">
            <v>0</v>
          </cell>
          <cell r="AF75">
            <v>32</v>
          </cell>
          <cell r="AG75">
            <v>11</v>
          </cell>
          <cell r="AH75">
            <v>0</v>
          </cell>
          <cell r="AI75">
            <v>1849</v>
          </cell>
          <cell r="AJ75">
            <v>1079</v>
          </cell>
          <cell r="AK75">
            <v>789</v>
          </cell>
          <cell r="AL75">
            <v>290</v>
          </cell>
          <cell r="AM75">
            <v>65</v>
          </cell>
        </row>
        <row r="76">
          <cell r="A76">
            <v>69</v>
          </cell>
          <cell r="B76" t="str">
            <v>Crawley</v>
          </cell>
          <cell r="C76" t="str">
            <v>E3834</v>
          </cell>
          <cell r="D76">
            <v>2078385.34</v>
          </cell>
          <cell r="E76">
            <v>21544.32</v>
          </cell>
          <cell r="F76">
            <v>0</v>
          </cell>
          <cell r="G76">
            <v>304777.3</v>
          </cell>
          <cell r="H76">
            <v>7204078.4800000004</v>
          </cell>
          <cell r="I76">
            <v>66034.98</v>
          </cell>
          <cell r="J76">
            <v>30629.25</v>
          </cell>
          <cell r="K76">
            <v>390.73</v>
          </cell>
          <cell r="L76">
            <v>0</v>
          </cell>
          <cell r="M76">
            <v>0</v>
          </cell>
          <cell r="N76">
            <v>2021139.33</v>
          </cell>
          <cell r="O76">
            <v>630256.1</v>
          </cell>
          <cell r="P76">
            <v>0.9</v>
          </cell>
          <cell r="Q76">
            <v>1.1039000000000001</v>
          </cell>
          <cell r="S76">
            <v>3164</v>
          </cell>
          <cell r="T76">
            <v>262260350</v>
          </cell>
          <cell r="U76">
            <v>1054139.81</v>
          </cell>
          <cell r="X76">
            <v>103</v>
          </cell>
          <cell r="Y76">
            <v>12</v>
          </cell>
          <cell r="Z76">
            <v>0</v>
          </cell>
          <cell r="AA76">
            <v>3</v>
          </cell>
          <cell r="AB76">
            <v>556</v>
          </cell>
          <cell r="AC76">
            <v>84</v>
          </cell>
          <cell r="AD76">
            <v>10</v>
          </cell>
          <cell r="AE76">
            <v>12</v>
          </cell>
          <cell r="AF76">
            <v>0</v>
          </cell>
          <cell r="AG76">
            <v>0</v>
          </cell>
          <cell r="AH76">
            <v>0</v>
          </cell>
          <cell r="AI76">
            <v>2760</v>
          </cell>
          <cell r="AJ76">
            <v>358</v>
          </cell>
          <cell r="AK76">
            <v>170</v>
          </cell>
          <cell r="AL76">
            <v>188</v>
          </cell>
          <cell r="AM76">
            <v>49</v>
          </cell>
        </row>
        <row r="77">
          <cell r="A77">
            <v>70</v>
          </cell>
          <cell r="B77" t="str">
            <v>Croydon</v>
          </cell>
          <cell r="C77" t="str">
            <v>E5035</v>
          </cell>
          <cell r="D77">
            <v>6941163.2999999998</v>
          </cell>
          <cell r="E77">
            <v>126444.95</v>
          </cell>
          <cell r="F77">
            <v>0</v>
          </cell>
          <cell r="G77">
            <v>81934.98</v>
          </cell>
          <cell r="H77">
            <v>7337221.4100000001</v>
          </cell>
          <cell r="I77">
            <v>55261.66</v>
          </cell>
          <cell r="J77">
            <v>61778.080000000002</v>
          </cell>
          <cell r="K77">
            <v>0</v>
          </cell>
          <cell r="L77">
            <v>0</v>
          </cell>
          <cell r="M77">
            <v>0</v>
          </cell>
          <cell r="N77">
            <v>2026000.51</v>
          </cell>
          <cell r="O77">
            <v>4717634.04</v>
          </cell>
          <cell r="P77">
            <v>1.5</v>
          </cell>
          <cell r="Q77">
            <v>1.0760000000000001</v>
          </cell>
          <cell r="S77">
            <v>8885</v>
          </cell>
          <cell r="T77">
            <v>295668223</v>
          </cell>
          <cell r="U77">
            <v>1655046.24</v>
          </cell>
          <cell r="X77">
            <v>328</v>
          </cell>
          <cell r="Y77">
            <v>12</v>
          </cell>
          <cell r="Z77">
            <v>0</v>
          </cell>
          <cell r="AA77">
            <v>10</v>
          </cell>
          <cell r="AB77">
            <v>1110</v>
          </cell>
          <cell r="AC77">
            <v>362</v>
          </cell>
          <cell r="AD77">
            <v>17</v>
          </cell>
          <cell r="AE77">
            <v>0</v>
          </cell>
          <cell r="AF77">
            <v>0</v>
          </cell>
          <cell r="AG77">
            <v>0</v>
          </cell>
          <cell r="AH77">
            <v>0</v>
          </cell>
          <cell r="AI77">
            <v>4775</v>
          </cell>
          <cell r="AJ77">
            <v>2486</v>
          </cell>
          <cell r="AK77">
            <v>1551</v>
          </cell>
          <cell r="AL77">
            <v>935</v>
          </cell>
          <cell r="AM77">
            <v>1426</v>
          </cell>
        </row>
        <row r="78">
          <cell r="A78">
            <v>71</v>
          </cell>
          <cell r="B78" t="str">
            <v>Dacorum</v>
          </cell>
          <cell r="C78" t="str">
            <v>E1932</v>
          </cell>
          <cell r="D78">
            <v>3055787.24</v>
          </cell>
          <cell r="E78">
            <v>76663.81</v>
          </cell>
          <cell r="F78">
            <v>3801.4</v>
          </cell>
          <cell r="G78">
            <v>0</v>
          </cell>
          <cell r="H78">
            <v>3356647.42</v>
          </cell>
          <cell r="I78">
            <v>42114.59</v>
          </cell>
          <cell r="J78">
            <v>12213.28</v>
          </cell>
          <cell r="K78">
            <v>237.88</v>
          </cell>
          <cell r="L78">
            <v>0</v>
          </cell>
          <cell r="M78">
            <v>138.35</v>
          </cell>
          <cell r="N78">
            <v>1104786.8400000001</v>
          </cell>
          <cell r="O78">
            <v>1662301.75</v>
          </cell>
          <cell r="P78">
            <v>0.9</v>
          </cell>
          <cell r="Q78">
            <v>1.0815999999999999</v>
          </cell>
          <cell r="S78">
            <v>4393</v>
          </cell>
          <cell r="T78">
            <v>152444310</v>
          </cell>
          <cell r="U78">
            <v>582145.12</v>
          </cell>
          <cell r="X78">
            <v>228</v>
          </cell>
          <cell r="Y78">
            <v>21</v>
          </cell>
          <cell r="Z78">
            <v>2</v>
          </cell>
          <cell r="AA78">
            <v>0</v>
          </cell>
          <cell r="AB78">
            <v>505</v>
          </cell>
          <cell r="AC78">
            <v>116</v>
          </cell>
          <cell r="AD78">
            <v>35</v>
          </cell>
          <cell r="AE78">
            <v>6</v>
          </cell>
          <cell r="AF78">
            <v>0</v>
          </cell>
          <cell r="AG78">
            <v>1</v>
          </cell>
          <cell r="AH78">
            <v>0</v>
          </cell>
          <cell r="AI78">
            <v>2026</v>
          </cell>
          <cell r="AJ78">
            <v>973</v>
          </cell>
          <cell r="AK78">
            <v>487</v>
          </cell>
          <cell r="AL78">
            <v>486</v>
          </cell>
          <cell r="AM78">
            <v>148</v>
          </cell>
        </row>
        <row r="79">
          <cell r="A79">
            <v>72</v>
          </cell>
          <cell r="B79" t="str">
            <v>Darlington</v>
          </cell>
          <cell r="C79" t="str">
            <v>E1301</v>
          </cell>
          <cell r="D79">
            <v>1994163.07</v>
          </cell>
          <cell r="E79">
            <v>34903.26</v>
          </cell>
          <cell r="F79">
            <v>2846.99</v>
          </cell>
          <cell r="G79">
            <v>0</v>
          </cell>
          <cell r="H79">
            <v>1331490.31</v>
          </cell>
          <cell r="I79">
            <v>7068.48</v>
          </cell>
          <cell r="J79">
            <v>595.26</v>
          </cell>
          <cell r="K79">
            <v>0</v>
          </cell>
          <cell r="L79">
            <v>0</v>
          </cell>
          <cell r="M79">
            <v>0</v>
          </cell>
          <cell r="N79">
            <v>519083.72</v>
          </cell>
          <cell r="O79">
            <v>1727834.72</v>
          </cell>
          <cell r="P79">
            <v>1.3</v>
          </cell>
          <cell r="Q79">
            <v>1</v>
          </cell>
          <cell r="S79">
            <v>3472</v>
          </cell>
          <cell r="T79">
            <v>86298629</v>
          </cell>
          <cell r="U79">
            <v>362384.49</v>
          </cell>
          <cell r="X79">
            <v>137</v>
          </cell>
          <cell r="Y79">
            <v>8</v>
          </cell>
          <cell r="Z79">
            <v>4</v>
          </cell>
          <cell r="AA79">
            <v>0</v>
          </cell>
          <cell r="AB79">
            <v>480</v>
          </cell>
          <cell r="AC79">
            <v>36</v>
          </cell>
          <cell r="AD79">
            <v>1</v>
          </cell>
          <cell r="AE79">
            <v>0</v>
          </cell>
          <cell r="AF79">
            <v>0</v>
          </cell>
          <cell r="AG79">
            <v>0</v>
          </cell>
          <cell r="AH79">
            <v>0</v>
          </cell>
          <cell r="AI79">
            <v>2264</v>
          </cell>
          <cell r="AJ79">
            <v>1100</v>
          </cell>
          <cell r="AK79">
            <v>745</v>
          </cell>
          <cell r="AL79">
            <v>355</v>
          </cell>
          <cell r="AM79">
            <v>79</v>
          </cell>
        </row>
        <row r="80">
          <cell r="A80">
            <v>73</v>
          </cell>
          <cell r="B80" t="str">
            <v>Dartford</v>
          </cell>
          <cell r="C80" t="str">
            <v>E2233</v>
          </cell>
          <cell r="D80">
            <v>2023913.77</v>
          </cell>
          <cell r="E80">
            <v>48155.95</v>
          </cell>
          <cell r="F80">
            <v>629.75</v>
          </cell>
          <cell r="G80">
            <v>0</v>
          </cell>
          <cell r="H80">
            <v>2212765.34</v>
          </cell>
          <cell r="I80">
            <v>10957.11</v>
          </cell>
          <cell r="J80">
            <v>1372.42</v>
          </cell>
          <cell r="K80">
            <v>1854.9</v>
          </cell>
          <cell r="L80">
            <v>0</v>
          </cell>
          <cell r="M80">
            <v>1616.93</v>
          </cell>
          <cell r="N80">
            <v>1534578.38</v>
          </cell>
          <cell r="O80">
            <v>1189281.06</v>
          </cell>
          <cell r="P80">
            <v>0.9</v>
          </cell>
          <cell r="Q80">
            <v>1.0618000000000001</v>
          </cell>
          <cell r="S80">
            <v>2932</v>
          </cell>
          <cell r="T80">
            <v>195633752</v>
          </cell>
          <cell r="U80">
            <v>799431.51</v>
          </cell>
          <cell r="X80">
            <v>104</v>
          </cell>
          <cell r="Y80">
            <v>6</v>
          </cell>
          <cell r="Z80">
            <v>1</v>
          </cell>
          <cell r="AA80">
            <v>0</v>
          </cell>
          <cell r="AB80">
            <v>408</v>
          </cell>
          <cell r="AC80">
            <v>54</v>
          </cell>
          <cell r="AD80">
            <v>3</v>
          </cell>
          <cell r="AE80">
            <v>1</v>
          </cell>
          <cell r="AF80">
            <v>0</v>
          </cell>
          <cell r="AG80">
            <v>1</v>
          </cell>
          <cell r="AH80">
            <v>0</v>
          </cell>
          <cell r="AI80">
            <v>2248</v>
          </cell>
          <cell r="AJ80">
            <v>620</v>
          </cell>
          <cell r="AK80">
            <v>362</v>
          </cell>
          <cell r="AL80">
            <v>258</v>
          </cell>
          <cell r="AM80">
            <v>66</v>
          </cell>
        </row>
        <row r="81">
          <cell r="A81">
            <v>74</v>
          </cell>
          <cell r="B81" t="str">
            <v>Daventry</v>
          </cell>
          <cell r="C81" t="str">
            <v>E2832</v>
          </cell>
          <cell r="D81">
            <v>1140523.3999999999</v>
          </cell>
          <cell r="E81">
            <v>13879.9</v>
          </cell>
          <cell r="F81">
            <v>30132.21</v>
          </cell>
          <cell r="G81">
            <v>0</v>
          </cell>
          <cell r="H81">
            <v>758763.03</v>
          </cell>
          <cell r="I81">
            <v>10520.28</v>
          </cell>
          <cell r="J81">
            <v>20585.84</v>
          </cell>
          <cell r="K81">
            <v>186.14</v>
          </cell>
          <cell r="L81">
            <v>278.24</v>
          </cell>
          <cell r="M81">
            <v>0</v>
          </cell>
          <cell r="N81">
            <v>653508.93999999994</v>
          </cell>
          <cell r="O81">
            <v>1084128.29</v>
          </cell>
          <cell r="P81">
            <v>0.9</v>
          </cell>
          <cell r="Q81">
            <v>1.0132000000000001</v>
          </cell>
          <cell r="S81">
            <v>2434</v>
          </cell>
          <cell r="T81">
            <v>94679421</v>
          </cell>
          <cell r="U81">
            <v>372005.63</v>
          </cell>
          <cell r="X81">
            <v>127</v>
          </cell>
          <cell r="Y81">
            <v>4</v>
          </cell>
          <cell r="Z81">
            <v>24</v>
          </cell>
          <cell r="AA81">
            <v>0</v>
          </cell>
          <cell r="AB81">
            <v>373</v>
          </cell>
          <cell r="AC81">
            <v>109</v>
          </cell>
          <cell r="AD81">
            <v>16</v>
          </cell>
          <cell r="AE81">
            <v>3</v>
          </cell>
          <cell r="AF81">
            <v>1</v>
          </cell>
          <cell r="AG81">
            <v>0</v>
          </cell>
          <cell r="AH81">
            <v>0</v>
          </cell>
          <cell r="AI81">
            <v>1758</v>
          </cell>
          <cell r="AJ81">
            <v>597</v>
          </cell>
          <cell r="AK81">
            <v>355</v>
          </cell>
          <cell r="AL81">
            <v>242</v>
          </cell>
          <cell r="AM81">
            <v>64</v>
          </cell>
        </row>
        <row r="82">
          <cell r="A82">
            <v>75</v>
          </cell>
          <cell r="B82" t="str">
            <v>Derby</v>
          </cell>
          <cell r="C82" t="str">
            <v>E1001</v>
          </cell>
          <cell r="D82">
            <v>4695419.4800000004</v>
          </cell>
          <cell r="E82">
            <v>32060</v>
          </cell>
          <cell r="F82">
            <v>0</v>
          </cell>
          <cell r="G82">
            <v>92739</v>
          </cell>
          <cell r="H82">
            <v>1774369.54</v>
          </cell>
          <cell r="I82">
            <v>14274.24</v>
          </cell>
          <cell r="J82">
            <v>118405.04</v>
          </cell>
          <cell r="K82">
            <v>1660.25</v>
          </cell>
          <cell r="L82">
            <v>0</v>
          </cell>
          <cell r="M82">
            <v>0</v>
          </cell>
          <cell r="N82">
            <v>1501888.22</v>
          </cell>
          <cell r="O82">
            <v>3229481.37</v>
          </cell>
          <cell r="P82">
            <v>1.3</v>
          </cell>
          <cell r="Q82">
            <v>1</v>
          </cell>
          <cell r="S82">
            <v>7085</v>
          </cell>
          <cell r="T82">
            <v>212041433</v>
          </cell>
          <cell r="U82">
            <v>905469.53</v>
          </cell>
          <cell r="X82">
            <v>321</v>
          </cell>
          <cell r="Y82">
            <v>3</v>
          </cell>
          <cell r="Z82">
            <v>0</v>
          </cell>
          <cell r="AA82">
            <v>1</v>
          </cell>
          <cell r="AB82">
            <v>1238</v>
          </cell>
          <cell r="AC82">
            <v>130</v>
          </cell>
          <cell r="AD82">
            <v>34</v>
          </cell>
          <cell r="AE82">
            <v>2</v>
          </cell>
          <cell r="AF82">
            <v>0</v>
          </cell>
          <cell r="AG82">
            <v>0</v>
          </cell>
          <cell r="AH82">
            <v>0</v>
          </cell>
          <cell r="AI82">
            <v>5013</v>
          </cell>
          <cell r="AJ82">
            <v>1960</v>
          </cell>
          <cell r="AK82">
            <v>1417</v>
          </cell>
          <cell r="AL82">
            <v>543</v>
          </cell>
          <cell r="AM82">
            <v>121</v>
          </cell>
        </row>
        <row r="83">
          <cell r="A83">
            <v>76</v>
          </cell>
          <cell r="B83" t="str">
            <v>Derbyshire Dales</v>
          </cell>
          <cell r="C83" t="str">
            <v>E1035</v>
          </cell>
          <cell r="D83">
            <v>912777.36</v>
          </cell>
          <cell r="E83">
            <v>43894.22</v>
          </cell>
          <cell r="F83">
            <v>58942.46</v>
          </cell>
          <cell r="G83">
            <v>0</v>
          </cell>
          <cell r="H83">
            <v>397073.05</v>
          </cell>
          <cell r="I83">
            <v>22964.39</v>
          </cell>
          <cell r="J83">
            <v>93371.79</v>
          </cell>
          <cell r="K83">
            <v>1071.69</v>
          </cell>
          <cell r="L83">
            <v>44206.85</v>
          </cell>
          <cell r="M83">
            <v>7212.35</v>
          </cell>
          <cell r="N83">
            <v>254440.94</v>
          </cell>
          <cell r="O83">
            <v>1980322.26</v>
          </cell>
          <cell r="P83">
            <v>0.9</v>
          </cell>
          <cell r="Q83">
            <v>1</v>
          </cell>
          <cell r="S83">
            <v>3791</v>
          </cell>
          <cell r="T83">
            <v>46319315</v>
          </cell>
          <cell r="U83">
            <v>166216.62</v>
          </cell>
          <cell r="X83">
            <v>202</v>
          </cell>
          <cell r="Y83">
            <v>5</v>
          </cell>
          <cell r="Z83">
            <v>66</v>
          </cell>
          <cell r="AA83">
            <v>0</v>
          </cell>
          <cell r="AB83">
            <v>307</v>
          </cell>
          <cell r="AC83">
            <v>147</v>
          </cell>
          <cell r="AD83">
            <v>64</v>
          </cell>
          <cell r="AE83">
            <v>3</v>
          </cell>
          <cell r="AF83">
            <v>66</v>
          </cell>
          <cell r="AG83">
            <v>8</v>
          </cell>
          <cell r="AH83">
            <v>0</v>
          </cell>
          <cell r="AI83">
            <v>2297</v>
          </cell>
          <cell r="AJ83">
            <v>1359</v>
          </cell>
          <cell r="AK83">
            <v>1043</v>
          </cell>
          <cell r="AL83">
            <v>316</v>
          </cell>
          <cell r="AM83">
            <v>96</v>
          </cell>
        </row>
        <row r="84">
          <cell r="A84">
            <v>77</v>
          </cell>
          <cell r="B84" t="str">
            <v>Doncaster</v>
          </cell>
          <cell r="C84" t="str">
            <v>E4402</v>
          </cell>
          <cell r="D84">
            <v>4596728.5199999996</v>
          </cell>
          <cell r="E84">
            <v>27095.279999999999</v>
          </cell>
          <cell r="F84">
            <v>9178.5300000000007</v>
          </cell>
          <cell r="G84">
            <v>36100.93</v>
          </cell>
          <cell r="H84">
            <v>3464047.64</v>
          </cell>
          <cell r="I84">
            <v>59694.559999999998</v>
          </cell>
          <cell r="J84">
            <v>107906.35</v>
          </cell>
          <cell r="K84">
            <v>0</v>
          </cell>
          <cell r="L84">
            <v>0</v>
          </cell>
          <cell r="M84">
            <v>0</v>
          </cell>
          <cell r="N84">
            <v>1573473.11</v>
          </cell>
          <cell r="O84">
            <v>4750463.26</v>
          </cell>
          <cell r="P84">
            <v>1.7</v>
          </cell>
          <cell r="Q84">
            <v>1</v>
          </cell>
          <cell r="S84">
            <v>8503</v>
          </cell>
          <cell r="T84">
            <v>224628850</v>
          </cell>
          <cell r="U84">
            <v>1194663.3400000001</v>
          </cell>
          <cell r="X84">
            <v>372</v>
          </cell>
          <cell r="Y84">
            <v>10</v>
          </cell>
          <cell r="Z84">
            <v>12</v>
          </cell>
          <cell r="AA84">
            <v>1</v>
          </cell>
          <cell r="AB84">
            <v>1298</v>
          </cell>
          <cell r="AC84">
            <v>86</v>
          </cell>
          <cell r="AD84">
            <v>19</v>
          </cell>
          <cell r="AE84">
            <v>0</v>
          </cell>
          <cell r="AF84">
            <v>0</v>
          </cell>
          <cell r="AG84">
            <v>0</v>
          </cell>
          <cell r="AH84">
            <v>0</v>
          </cell>
          <cell r="AI84">
            <v>3266</v>
          </cell>
          <cell r="AJ84">
            <v>2952</v>
          </cell>
          <cell r="AK84">
            <v>2230</v>
          </cell>
          <cell r="AL84">
            <v>722</v>
          </cell>
          <cell r="AM84">
            <v>2198</v>
          </cell>
        </row>
        <row r="85">
          <cell r="A85">
            <v>78</v>
          </cell>
          <cell r="B85" t="str">
            <v>Dover</v>
          </cell>
          <cell r="C85" t="str">
            <v>E2234</v>
          </cell>
          <cell r="D85">
            <v>1703355.47</v>
          </cell>
          <cell r="E85">
            <v>60080.54</v>
          </cell>
          <cell r="F85">
            <v>23355.97</v>
          </cell>
          <cell r="G85">
            <v>1246813.6499999999</v>
          </cell>
          <cell r="H85">
            <v>914329.65</v>
          </cell>
          <cell r="I85">
            <v>37274.68</v>
          </cell>
          <cell r="J85">
            <v>31080.83</v>
          </cell>
          <cell r="K85">
            <v>0</v>
          </cell>
          <cell r="L85">
            <v>615.94000000000005</v>
          </cell>
          <cell r="M85">
            <v>0</v>
          </cell>
          <cell r="N85">
            <v>606641.53</v>
          </cell>
          <cell r="O85">
            <v>1789314.97</v>
          </cell>
          <cell r="P85">
            <v>0.9</v>
          </cell>
          <cell r="Q85">
            <v>1.0067999999999999</v>
          </cell>
          <cell r="S85">
            <v>3487</v>
          </cell>
          <cell r="T85">
            <v>91505102</v>
          </cell>
          <cell r="U85">
            <v>333733.26</v>
          </cell>
          <cell r="X85">
            <v>207</v>
          </cell>
          <cell r="Y85">
            <v>10</v>
          </cell>
          <cell r="Z85">
            <v>19</v>
          </cell>
          <cell r="AA85">
            <v>2</v>
          </cell>
          <cell r="AB85">
            <v>244</v>
          </cell>
          <cell r="AC85">
            <v>120</v>
          </cell>
          <cell r="AD85">
            <v>39</v>
          </cell>
          <cell r="AE85">
            <v>0</v>
          </cell>
          <cell r="AF85">
            <v>1</v>
          </cell>
          <cell r="AG85">
            <v>0</v>
          </cell>
          <cell r="AH85">
            <v>0</v>
          </cell>
          <cell r="AI85">
            <v>2276</v>
          </cell>
          <cell r="AJ85">
            <v>1101</v>
          </cell>
          <cell r="AK85">
            <v>800</v>
          </cell>
          <cell r="AL85">
            <v>301</v>
          </cell>
          <cell r="AM85">
            <v>57</v>
          </cell>
        </row>
        <row r="86">
          <cell r="A86">
            <v>79</v>
          </cell>
          <cell r="B86" t="str">
            <v>Dudley</v>
          </cell>
          <cell r="C86" t="str">
            <v>E4603</v>
          </cell>
          <cell r="D86">
            <v>3848386.14</v>
          </cell>
          <cell r="E86">
            <v>25134</v>
          </cell>
          <cell r="F86">
            <v>0</v>
          </cell>
          <cell r="G86">
            <v>130000</v>
          </cell>
          <cell r="H86">
            <v>4831385.83</v>
          </cell>
          <cell r="I86">
            <v>116169.11</v>
          </cell>
          <cell r="J86">
            <v>23088.82</v>
          </cell>
          <cell r="K86">
            <v>1570.88</v>
          </cell>
          <cell r="L86">
            <v>0</v>
          </cell>
          <cell r="M86">
            <v>0</v>
          </cell>
          <cell r="N86">
            <v>1460107.48</v>
          </cell>
          <cell r="O86">
            <v>5117869.8899999997</v>
          </cell>
          <cell r="P86">
            <v>1.7</v>
          </cell>
          <cell r="Q86">
            <v>1.0134000000000001</v>
          </cell>
          <cell r="S86">
            <v>10207</v>
          </cell>
          <cell r="T86">
            <v>244374408</v>
          </cell>
          <cell r="U86">
            <v>1297269.52</v>
          </cell>
          <cell r="X86">
            <v>369</v>
          </cell>
          <cell r="Y86">
            <v>12</v>
          </cell>
          <cell r="Z86">
            <v>0</v>
          </cell>
          <cell r="AA86">
            <v>7</v>
          </cell>
          <cell r="AB86">
            <v>1866</v>
          </cell>
          <cell r="AC86">
            <v>324</v>
          </cell>
          <cell r="AD86">
            <v>17</v>
          </cell>
          <cell r="AE86">
            <v>12</v>
          </cell>
          <cell r="AF86">
            <v>0</v>
          </cell>
          <cell r="AG86">
            <v>0</v>
          </cell>
          <cell r="AH86">
            <v>0</v>
          </cell>
          <cell r="AI86">
            <v>6747</v>
          </cell>
          <cell r="AJ86">
            <v>3052</v>
          </cell>
          <cell r="AK86">
            <v>2023</v>
          </cell>
          <cell r="AL86">
            <v>1029</v>
          </cell>
          <cell r="AM86">
            <v>399</v>
          </cell>
        </row>
        <row r="87">
          <cell r="A87">
            <v>80</v>
          </cell>
          <cell r="B87" t="str">
            <v>Durham UA</v>
          </cell>
          <cell r="C87" t="str">
            <v>E1302</v>
          </cell>
          <cell r="D87">
            <v>8253310.79</v>
          </cell>
          <cell r="E87">
            <v>201456.73</v>
          </cell>
          <cell r="F87">
            <v>92043.08</v>
          </cell>
          <cell r="G87">
            <v>10535.4</v>
          </cell>
          <cell r="H87">
            <v>2301155.34</v>
          </cell>
          <cell r="I87">
            <v>92677.29</v>
          </cell>
          <cell r="J87">
            <v>16604.66</v>
          </cell>
          <cell r="K87">
            <v>174.4</v>
          </cell>
          <cell r="L87">
            <v>13226.96</v>
          </cell>
          <cell r="M87">
            <v>4178.3599999999997</v>
          </cell>
          <cell r="N87">
            <v>1978417.37</v>
          </cell>
          <cell r="O87">
            <v>7421577.7599999998</v>
          </cell>
          <cell r="P87">
            <v>1.3</v>
          </cell>
          <cell r="Q87">
            <v>1</v>
          </cell>
          <cell r="S87">
            <v>14640</v>
          </cell>
          <cell r="T87">
            <v>296748846</v>
          </cell>
          <cell r="U87">
            <v>1211261.68</v>
          </cell>
          <cell r="X87">
            <v>828</v>
          </cell>
          <cell r="Y87">
            <v>53</v>
          </cell>
          <cell r="Z87">
            <v>110</v>
          </cell>
          <cell r="AA87">
            <v>3</v>
          </cell>
          <cell r="AB87">
            <v>1100</v>
          </cell>
          <cell r="AC87">
            <v>422</v>
          </cell>
          <cell r="AD87">
            <v>16</v>
          </cell>
          <cell r="AE87">
            <v>3</v>
          </cell>
          <cell r="AF87">
            <v>30</v>
          </cell>
          <cell r="AG87">
            <v>5</v>
          </cell>
          <cell r="AH87">
            <v>0</v>
          </cell>
          <cell r="AI87">
            <v>5309</v>
          </cell>
          <cell r="AJ87">
            <v>4942</v>
          </cell>
          <cell r="AK87">
            <v>3827</v>
          </cell>
          <cell r="AL87">
            <v>1115</v>
          </cell>
          <cell r="AM87">
            <v>4364</v>
          </cell>
        </row>
        <row r="88">
          <cell r="A88">
            <v>81</v>
          </cell>
          <cell r="B88" t="str">
            <v>Ealing</v>
          </cell>
          <cell r="C88" t="str">
            <v>E5036</v>
          </cell>
          <cell r="D88">
            <v>7527912</v>
          </cell>
          <cell r="E88">
            <v>94868.9</v>
          </cell>
          <cell r="F88">
            <v>0</v>
          </cell>
          <cell r="G88">
            <v>473390</v>
          </cell>
          <cell r="H88">
            <v>4601646</v>
          </cell>
          <cell r="I88">
            <v>131163</v>
          </cell>
          <cell r="J88">
            <v>77962</v>
          </cell>
          <cell r="K88">
            <v>0</v>
          </cell>
          <cell r="L88">
            <v>0</v>
          </cell>
          <cell r="M88">
            <v>0</v>
          </cell>
          <cell r="N88">
            <v>2361335.92</v>
          </cell>
          <cell r="O88">
            <v>3476657.59</v>
          </cell>
          <cell r="P88">
            <v>1.5</v>
          </cell>
          <cell r="Q88">
            <v>1.1113</v>
          </cell>
          <cell r="S88">
            <v>9485</v>
          </cell>
          <cell r="T88">
            <v>352143120</v>
          </cell>
          <cell r="U88">
            <v>2043741.28</v>
          </cell>
          <cell r="X88">
            <v>315</v>
          </cell>
          <cell r="Y88">
            <v>6</v>
          </cell>
          <cell r="Z88">
            <v>0</v>
          </cell>
          <cell r="AA88">
            <v>5</v>
          </cell>
          <cell r="AB88">
            <v>400</v>
          </cell>
          <cell r="AC88">
            <v>153</v>
          </cell>
          <cell r="AD88">
            <v>53</v>
          </cell>
          <cell r="AE88">
            <v>0</v>
          </cell>
          <cell r="AF88">
            <v>0</v>
          </cell>
          <cell r="AG88">
            <v>0</v>
          </cell>
          <cell r="AH88">
            <v>0</v>
          </cell>
          <cell r="AI88">
            <v>6850</v>
          </cell>
          <cell r="AJ88">
            <v>1931</v>
          </cell>
          <cell r="AK88">
            <v>956</v>
          </cell>
          <cell r="AL88">
            <v>975</v>
          </cell>
          <cell r="AM88">
            <v>621</v>
          </cell>
        </row>
        <row r="89">
          <cell r="A89">
            <v>82</v>
          </cell>
          <cell r="B89" t="str">
            <v>East Cambridgeshire</v>
          </cell>
          <cell r="C89" t="str">
            <v>E0532</v>
          </cell>
          <cell r="D89">
            <v>1429298.92</v>
          </cell>
          <cell r="E89">
            <v>13108.4</v>
          </cell>
          <cell r="F89">
            <v>34071.15</v>
          </cell>
          <cell r="G89">
            <v>9942.8700000000008</v>
          </cell>
          <cell r="H89">
            <v>593912</v>
          </cell>
          <cell r="I89">
            <v>28228.27</v>
          </cell>
          <cell r="J89">
            <v>22370.44</v>
          </cell>
          <cell r="K89">
            <v>204.82</v>
          </cell>
          <cell r="L89">
            <v>10310.549999999999</v>
          </cell>
          <cell r="M89">
            <v>0</v>
          </cell>
          <cell r="N89">
            <v>286329.94</v>
          </cell>
          <cell r="O89">
            <v>1295177.74</v>
          </cell>
          <cell r="P89">
            <v>0.9</v>
          </cell>
          <cell r="Q89">
            <v>1.0339</v>
          </cell>
          <cell r="S89">
            <v>2131</v>
          </cell>
          <cell r="T89">
            <v>46543192</v>
          </cell>
          <cell r="U89">
            <v>160922.73000000001</v>
          </cell>
          <cell r="X89">
            <v>138</v>
          </cell>
          <cell r="Y89">
            <v>2</v>
          </cell>
          <cell r="Z89">
            <v>19</v>
          </cell>
          <cell r="AA89">
            <v>1</v>
          </cell>
          <cell r="AB89">
            <v>191</v>
          </cell>
          <cell r="AC89">
            <v>92</v>
          </cell>
          <cell r="AD89">
            <v>7</v>
          </cell>
          <cell r="AE89">
            <v>0</v>
          </cell>
          <cell r="AF89">
            <v>9</v>
          </cell>
          <cell r="AG89">
            <v>0</v>
          </cell>
          <cell r="AH89">
            <v>0</v>
          </cell>
          <cell r="AI89">
            <v>1350</v>
          </cell>
          <cell r="AJ89">
            <v>761</v>
          </cell>
          <cell r="AK89">
            <v>488</v>
          </cell>
          <cell r="AL89">
            <v>273</v>
          </cell>
          <cell r="AM89">
            <v>113</v>
          </cell>
        </row>
        <row r="90">
          <cell r="A90">
            <v>83</v>
          </cell>
          <cell r="B90" t="str">
            <v>East Devon</v>
          </cell>
          <cell r="C90" t="str">
            <v>E1131</v>
          </cell>
          <cell r="D90">
            <v>2077817.25</v>
          </cell>
          <cell r="E90">
            <v>115497.19</v>
          </cell>
          <cell r="F90">
            <v>48287.32</v>
          </cell>
          <cell r="G90">
            <v>0</v>
          </cell>
          <cell r="H90">
            <v>775186.64</v>
          </cell>
          <cell r="I90">
            <v>30587.32</v>
          </cell>
          <cell r="J90">
            <v>5771.27</v>
          </cell>
          <cell r="K90">
            <v>4236.83</v>
          </cell>
          <cell r="L90">
            <v>11764.64</v>
          </cell>
          <cell r="M90">
            <v>0</v>
          </cell>
          <cell r="N90">
            <v>484870.36</v>
          </cell>
          <cell r="O90">
            <v>3299537.77</v>
          </cell>
          <cell r="P90">
            <v>0.9</v>
          </cell>
          <cell r="Q90">
            <v>1</v>
          </cell>
          <cell r="S90">
            <v>5776</v>
          </cell>
          <cell r="T90">
            <v>84686331</v>
          </cell>
          <cell r="U90">
            <v>295490.90999999997</v>
          </cell>
          <cell r="X90">
            <v>352</v>
          </cell>
          <cell r="Y90">
            <v>36</v>
          </cell>
          <cell r="Z90">
            <v>43</v>
          </cell>
          <cell r="AA90">
            <v>1</v>
          </cell>
          <cell r="AB90">
            <v>375</v>
          </cell>
          <cell r="AC90">
            <v>202</v>
          </cell>
          <cell r="AD90">
            <v>7</v>
          </cell>
          <cell r="AE90">
            <v>34</v>
          </cell>
          <cell r="AF90">
            <v>26</v>
          </cell>
          <cell r="AG90">
            <v>0</v>
          </cell>
          <cell r="AH90">
            <v>0</v>
          </cell>
          <cell r="AI90">
            <v>3384</v>
          </cell>
          <cell r="AJ90">
            <v>2206</v>
          </cell>
          <cell r="AK90">
            <v>1553</v>
          </cell>
          <cell r="AL90">
            <v>653</v>
          </cell>
          <cell r="AM90">
            <v>131</v>
          </cell>
        </row>
        <row r="91">
          <cell r="A91">
            <v>84</v>
          </cell>
          <cell r="B91" t="str">
            <v>East Dorset</v>
          </cell>
          <cell r="C91" t="str">
            <v>E1233</v>
          </cell>
          <cell r="D91">
            <v>704680.83</v>
          </cell>
          <cell r="E91">
            <v>0</v>
          </cell>
          <cell r="F91">
            <v>15164.86</v>
          </cell>
          <cell r="G91">
            <v>0</v>
          </cell>
          <cell r="H91">
            <v>461887.3</v>
          </cell>
          <cell r="I91">
            <v>8153.38</v>
          </cell>
          <cell r="J91">
            <v>1120.67</v>
          </cell>
          <cell r="K91">
            <v>0</v>
          </cell>
          <cell r="L91">
            <v>10849.81</v>
          </cell>
          <cell r="M91">
            <v>6978.2</v>
          </cell>
          <cell r="N91">
            <v>267742.52</v>
          </cell>
          <cell r="O91">
            <v>1619610.69</v>
          </cell>
          <cell r="P91">
            <v>0.9</v>
          </cell>
          <cell r="Q91">
            <v>1</v>
          </cell>
          <cell r="S91">
            <v>2632</v>
          </cell>
          <cell r="T91">
            <v>53831261</v>
          </cell>
          <cell r="U91">
            <v>204836.05</v>
          </cell>
          <cell r="X91">
            <v>125</v>
          </cell>
          <cell r="Y91">
            <v>13</v>
          </cell>
          <cell r="Z91">
            <v>15</v>
          </cell>
          <cell r="AA91">
            <v>1</v>
          </cell>
          <cell r="AB91">
            <v>242</v>
          </cell>
          <cell r="AC91">
            <v>72</v>
          </cell>
          <cell r="AD91">
            <v>3</v>
          </cell>
          <cell r="AE91">
            <v>0</v>
          </cell>
          <cell r="AF91">
            <v>14</v>
          </cell>
          <cell r="AG91">
            <v>4</v>
          </cell>
          <cell r="AH91">
            <v>0</v>
          </cell>
          <cell r="AI91">
            <v>1622</v>
          </cell>
          <cell r="AJ91">
            <v>923</v>
          </cell>
          <cell r="AK91">
            <v>542</v>
          </cell>
          <cell r="AL91">
            <v>381</v>
          </cell>
          <cell r="AM91">
            <v>108</v>
          </cell>
        </row>
        <row r="92">
          <cell r="A92">
            <v>85</v>
          </cell>
          <cell r="B92" t="str">
            <v>East Hampshire</v>
          </cell>
          <cell r="C92" t="str">
            <v>E1732</v>
          </cell>
          <cell r="D92">
            <v>2000671</v>
          </cell>
          <cell r="E92">
            <v>47947</v>
          </cell>
          <cell r="F92">
            <v>24104</v>
          </cell>
          <cell r="G92">
            <v>10000</v>
          </cell>
          <cell r="H92">
            <v>1008532</v>
          </cell>
          <cell r="I92">
            <v>40107</v>
          </cell>
          <cell r="J92">
            <v>2900</v>
          </cell>
          <cell r="K92">
            <v>3000</v>
          </cell>
          <cell r="L92">
            <v>18078</v>
          </cell>
          <cell r="M92">
            <v>0</v>
          </cell>
          <cell r="N92">
            <v>466688</v>
          </cell>
          <cell r="O92">
            <v>2026041</v>
          </cell>
          <cell r="P92">
            <v>0.9</v>
          </cell>
          <cell r="Q92">
            <v>1.036</v>
          </cell>
          <cell r="S92">
            <v>3512</v>
          </cell>
          <cell r="T92">
            <v>73931316</v>
          </cell>
          <cell r="U92">
            <v>269357.71999999997</v>
          </cell>
          <cell r="X92">
            <v>227</v>
          </cell>
          <cell r="Y92">
            <v>11</v>
          </cell>
          <cell r="Z92">
            <v>19</v>
          </cell>
          <cell r="AA92">
            <v>0</v>
          </cell>
          <cell r="AB92">
            <v>105</v>
          </cell>
          <cell r="AC92">
            <v>122</v>
          </cell>
          <cell r="AD92">
            <v>5</v>
          </cell>
          <cell r="AE92">
            <v>11</v>
          </cell>
          <cell r="AF92">
            <v>22</v>
          </cell>
          <cell r="AG92">
            <v>0</v>
          </cell>
          <cell r="AH92">
            <v>0</v>
          </cell>
          <cell r="AI92">
            <v>2191</v>
          </cell>
          <cell r="AJ92">
            <v>1176</v>
          </cell>
          <cell r="AK92">
            <v>711</v>
          </cell>
          <cell r="AL92">
            <v>465</v>
          </cell>
          <cell r="AM92">
            <v>171</v>
          </cell>
        </row>
        <row r="93">
          <cell r="A93">
            <v>86</v>
          </cell>
          <cell r="B93" t="str">
            <v>East Hertfordshire</v>
          </cell>
          <cell r="C93" t="str">
            <v>E1933</v>
          </cell>
          <cell r="D93">
            <v>3324932.62</v>
          </cell>
          <cell r="E93">
            <v>90815.49</v>
          </cell>
          <cell r="F93">
            <v>50841.65</v>
          </cell>
          <cell r="G93">
            <v>399506</v>
          </cell>
          <cell r="H93">
            <v>2135597.11</v>
          </cell>
          <cell r="I93">
            <v>34974.620000000003</v>
          </cell>
          <cell r="J93">
            <v>18264.34</v>
          </cell>
          <cell r="K93">
            <v>53.17</v>
          </cell>
          <cell r="L93">
            <v>16320.54</v>
          </cell>
          <cell r="M93">
            <v>0</v>
          </cell>
          <cell r="N93">
            <v>786429.3</v>
          </cell>
          <cell r="O93">
            <v>2008407.26</v>
          </cell>
          <cell r="P93">
            <v>0.9</v>
          </cell>
          <cell r="Q93">
            <v>1.0815999999999999</v>
          </cell>
          <cell r="S93">
            <v>4143</v>
          </cell>
          <cell r="T93">
            <v>115510102</v>
          </cell>
          <cell r="U93">
            <v>425937.98</v>
          </cell>
          <cell r="X93">
            <v>293</v>
          </cell>
          <cell r="Y93">
            <v>17</v>
          </cell>
          <cell r="Z93">
            <v>38</v>
          </cell>
          <cell r="AA93">
            <v>8</v>
          </cell>
          <cell r="AB93">
            <v>398</v>
          </cell>
          <cell r="AC93">
            <v>158</v>
          </cell>
          <cell r="AD93">
            <v>5</v>
          </cell>
          <cell r="AE93">
            <v>1</v>
          </cell>
          <cell r="AF93">
            <v>23</v>
          </cell>
          <cell r="AG93">
            <v>0</v>
          </cell>
          <cell r="AH93">
            <v>0</v>
          </cell>
          <cell r="AI93">
            <v>1794</v>
          </cell>
          <cell r="AJ93">
            <v>1088</v>
          </cell>
          <cell r="AK93">
            <v>536</v>
          </cell>
          <cell r="AL93">
            <v>552</v>
          </cell>
          <cell r="AM93">
            <v>167</v>
          </cell>
        </row>
        <row r="94">
          <cell r="A94">
            <v>87</v>
          </cell>
          <cell r="B94" t="str">
            <v>East Lindsey</v>
          </cell>
          <cell r="C94" t="str">
            <v>E2532</v>
          </cell>
          <cell r="D94">
            <v>1639450.23</v>
          </cell>
          <cell r="E94">
            <v>67157.100000000006</v>
          </cell>
          <cell r="F94">
            <v>113750.1</v>
          </cell>
          <cell r="G94">
            <v>0</v>
          </cell>
          <cell r="H94">
            <v>826860.99</v>
          </cell>
          <cell r="I94">
            <v>14758.48</v>
          </cell>
          <cell r="J94">
            <v>2387.91</v>
          </cell>
          <cell r="K94">
            <v>1701.07</v>
          </cell>
          <cell r="L94">
            <v>16412.05</v>
          </cell>
          <cell r="M94">
            <v>0</v>
          </cell>
          <cell r="N94">
            <v>592782.96</v>
          </cell>
          <cell r="O94">
            <v>3851425.21</v>
          </cell>
          <cell r="P94">
            <v>0.9</v>
          </cell>
          <cell r="Q94">
            <v>1</v>
          </cell>
          <cell r="S94">
            <v>6993</v>
          </cell>
          <cell r="T94">
            <v>88037539</v>
          </cell>
          <cell r="U94">
            <v>319471.34000000003</v>
          </cell>
          <cell r="X94">
            <v>354</v>
          </cell>
          <cell r="Y94">
            <v>31</v>
          </cell>
          <cell r="Z94">
            <v>110</v>
          </cell>
          <cell r="AA94">
            <v>0</v>
          </cell>
          <cell r="AB94">
            <v>595</v>
          </cell>
          <cell r="AC94">
            <v>128</v>
          </cell>
          <cell r="AD94">
            <v>0</v>
          </cell>
          <cell r="AE94">
            <v>0</v>
          </cell>
          <cell r="AF94">
            <v>15</v>
          </cell>
          <cell r="AG94">
            <v>32</v>
          </cell>
          <cell r="AH94">
            <v>0</v>
          </cell>
          <cell r="AI94">
            <v>3668</v>
          </cell>
          <cell r="AJ94">
            <v>3155</v>
          </cell>
          <cell r="AK94">
            <v>2609</v>
          </cell>
          <cell r="AL94">
            <v>546</v>
          </cell>
          <cell r="AM94">
            <v>119</v>
          </cell>
        </row>
        <row r="95">
          <cell r="A95">
            <v>88</v>
          </cell>
          <cell r="B95" t="str">
            <v>East Northamptonshire</v>
          </cell>
          <cell r="C95" t="str">
            <v>E2833</v>
          </cell>
          <cell r="D95">
            <v>1321517.3899999999</v>
          </cell>
          <cell r="E95">
            <v>20158.29</v>
          </cell>
          <cell r="F95">
            <v>23415.03</v>
          </cell>
          <cell r="G95">
            <v>0</v>
          </cell>
          <cell r="H95">
            <v>837568.58</v>
          </cell>
          <cell r="I95">
            <v>12960.98</v>
          </cell>
          <cell r="J95">
            <v>85615.28</v>
          </cell>
          <cell r="K95">
            <v>1259.8900000000001</v>
          </cell>
          <cell r="L95">
            <v>11638.11</v>
          </cell>
          <cell r="M95">
            <v>39433.279999999999</v>
          </cell>
          <cell r="N95">
            <v>353362.68</v>
          </cell>
          <cell r="O95">
            <v>1464626.47</v>
          </cell>
          <cell r="P95">
            <v>0.9</v>
          </cell>
          <cell r="Q95">
            <v>1.0132000000000001</v>
          </cell>
          <cell r="S95">
            <v>2306</v>
          </cell>
          <cell r="T95">
            <v>55081429</v>
          </cell>
          <cell r="U95">
            <v>197366.22</v>
          </cell>
          <cell r="X95">
            <v>163</v>
          </cell>
          <cell r="Y95">
            <v>9</v>
          </cell>
          <cell r="Z95">
            <v>20</v>
          </cell>
          <cell r="AA95">
            <v>0</v>
          </cell>
          <cell r="AB95">
            <v>246</v>
          </cell>
          <cell r="AC95">
            <v>120</v>
          </cell>
          <cell r="AD95">
            <v>44</v>
          </cell>
          <cell r="AE95">
            <v>9</v>
          </cell>
          <cell r="AF95">
            <v>19</v>
          </cell>
          <cell r="AG95">
            <v>19</v>
          </cell>
          <cell r="AH95">
            <v>0</v>
          </cell>
          <cell r="AI95">
            <v>1416</v>
          </cell>
          <cell r="AJ95">
            <v>861</v>
          </cell>
          <cell r="AK95">
            <v>588</v>
          </cell>
          <cell r="AL95">
            <v>273</v>
          </cell>
          <cell r="AM95">
            <v>36</v>
          </cell>
        </row>
        <row r="96">
          <cell r="A96">
            <v>89</v>
          </cell>
          <cell r="B96" t="str">
            <v>East Riding of Yorkshire</v>
          </cell>
          <cell r="C96" t="str">
            <v>E2001</v>
          </cell>
          <cell r="D96">
            <v>2613738.7999999998</v>
          </cell>
          <cell r="E96">
            <v>36894.550000000003</v>
          </cell>
          <cell r="F96">
            <v>110038.09</v>
          </cell>
          <cell r="G96">
            <v>0</v>
          </cell>
          <cell r="H96">
            <v>2218861.52</v>
          </cell>
          <cell r="I96">
            <v>23768.43</v>
          </cell>
          <cell r="J96">
            <v>436903.22</v>
          </cell>
          <cell r="K96">
            <v>1145.6500000000001</v>
          </cell>
          <cell r="L96">
            <v>27387.97</v>
          </cell>
          <cell r="M96">
            <v>146321.97</v>
          </cell>
          <cell r="N96">
            <v>1470894.46</v>
          </cell>
          <cell r="O96">
            <v>5995297.0199999996</v>
          </cell>
          <cell r="P96">
            <v>1.3</v>
          </cell>
          <cell r="Q96">
            <v>1</v>
          </cell>
          <cell r="S96">
            <v>10389</v>
          </cell>
          <cell r="T96">
            <v>228779374</v>
          </cell>
          <cell r="U96">
            <v>923626.11</v>
          </cell>
          <cell r="X96">
            <v>491</v>
          </cell>
          <cell r="Y96">
            <v>7</v>
          </cell>
          <cell r="Z96">
            <v>116</v>
          </cell>
          <cell r="AA96">
            <v>4</v>
          </cell>
          <cell r="AB96">
            <v>1063</v>
          </cell>
          <cell r="AC96">
            <v>242</v>
          </cell>
          <cell r="AD96">
            <v>162</v>
          </cell>
          <cell r="AE96">
            <v>5</v>
          </cell>
          <cell r="AF96">
            <v>69</v>
          </cell>
          <cell r="AG96">
            <v>158</v>
          </cell>
          <cell r="AH96">
            <v>3</v>
          </cell>
          <cell r="AI96">
            <v>6276</v>
          </cell>
          <cell r="AJ96">
            <v>3709</v>
          </cell>
          <cell r="AK96">
            <v>2608</v>
          </cell>
          <cell r="AL96">
            <v>1101</v>
          </cell>
          <cell r="AM96">
            <v>316</v>
          </cell>
        </row>
        <row r="97">
          <cell r="A97">
            <v>90</v>
          </cell>
          <cell r="B97" t="str">
            <v>East Staffordshire</v>
          </cell>
          <cell r="C97" t="str">
            <v>E3432</v>
          </cell>
          <cell r="D97">
            <v>1449819.13</v>
          </cell>
          <cell r="E97">
            <v>48254.28</v>
          </cell>
          <cell r="F97">
            <v>8660.1</v>
          </cell>
          <cell r="G97">
            <v>0</v>
          </cell>
          <cell r="H97">
            <v>2722733.08</v>
          </cell>
          <cell r="I97">
            <v>23352.37</v>
          </cell>
          <cell r="J97">
            <v>80237.2</v>
          </cell>
          <cell r="K97">
            <v>1653.03</v>
          </cell>
          <cell r="L97">
            <v>7692.8</v>
          </cell>
          <cell r="M97">
            <v>1992.58</v>
          </cell>
          <cell r="N97">
            <v>823020.17</v>
          </cell>
          <cell r="O97">
            <v>1463748.15</v>
          </cell>
          <cell r="P97">
            <v>0.9</v>
          </cell>
          <cell r="Q97">
            <v>1</v>
          </cell>
          <cell r="S97">
            <v>3967</v>
          </cell>
          <cell r="T97">
            <v>133360759</v>
          </cell>
          <cell r="U97">
            <v>520870.47</v>
          </cell>
          <cell r="X97">
            <v>148</v>
          </cell>
          <cell r="Y97">
            <v>14</v>
          </cell>
          <cell r="Z97">
            <v>12</v>
          </cell>
          <cell r="AA97">
            <v>0</v>
          </cell>
          <cell r="AB97">
            <v>621</v>
          </cell>
          <cell r="AC97">
            <v>105</v>
          </cell>
          <cell r="AD97">
            <v>37</v>
          </cell>
          <cell r="AE97">
            <v>9</v>
          </cell>
          <cell r="AF97">
            <v>13</v>
          </cell>
          <cell r="AG97">
            <v>2</v>
          </cell>
          <cell r="AH97">
            <v>0</v>
          </cell>
          <cell r="AI97">
            <v>2615</v>
          </cell>
          <cell r="AJ97">
            <v>1230</v>
          </cell>
          <cell r="AK97">
            <v>822</v>
          </cell>
          <cell r="AL97">
            <v>408</v>
          </cell>
          <cell r="AM97">
            <v>101</v>
          </cell>
        </row>
        <row r="98">
          <cell r="A98">
            <v>91</v>
          </cell>
          <cell r="B98" t="str">
            <v>Eastbourne</v>
          </cell>
          <cell r="C98" t="str">
            <v>E1432</v>
          </cell>
          <cell r="D98">
            <v>1916137.24</v>
          </cell>
          <cell r="E98">
            <v>73995.48</v>
          </cell>
          <cell r="F98">
            <v>0</v>
          </cell>
          <cell r="G98">
            <v>0</v>
          </cell>
          <cell r="H98">
            <v>443738</v>
          </cell>
          <cell r="I98">
            <v>7802.02</v>
          </cell>
          <cell r="J98">
            <v>376.3725</v>
          </cell>
          <cell r="K98">
            <v>0</v>
          </cell>
          <cell r="L98">
            <v>0</v>
          </cell>
          <cell r="M98">
            <v>0</v>
          </cell>
          <cell r="N98">
            <v>567928.12</v>
          </cell>
          <cell r="O98">
            <v>1611847</v>
          </cell>
          <cell r="P98">
            <v>0.9</v>
          </cell>
          <cell r="Q98">
            <v>1.0089999999999999</v>
          </cell>
          <cell r="S98">
            <v>2872</v>
          </cell>
          <cell r="T98">
            <v>81862080</v>
          </cell>
          <cell r="U98">
            <v>316987.38</v>
          </cell>
          <cell r="X98">
            <v>158</v>
          </cell>
          <cell r="Y98">
            <v>9</v>
          </cell>
          <cell r="Z98">
            <v>0</v>
          </cell>
          <cell r="AA98">
            <v>0</v>
          </cell>
          <cell r="AB98">
            <v>272</v>
          </cell>
          <cell r="AC98">
            <v>37</v>
          </cell>
          <cell r="AD98">
            <v>2</v>
          </cell>
          <cell r="AE98">
            <v>0</v>
          </cell>
          <cell r="AF98">
            <v>0</v>
          </cell>
          <cell r="AG98">
            <v>0</v>
          </cell>
          <cell r="AH98">
            <v>0</v>
          </cell>
          <cell r="AI98">
            <v>1905</v>
          </cell>
          <cell r="AJ98">
            <v>863</v>
          </cell>
          <cell r="AK98">
            <v>434</v>
          </cell>
          <cell r="AL98">
            <v>429</v>
          </cell>
          <cell r="AM98">
            <v>91</v>
          </cell>
        </row>
        <row r="99">
          <cell r="A99">
            <v>92</v>
          </cell>
          <cell r="B99" t="str">
            <v>Eastleigh</v>
          </cell>
          <cell r="C99" t="str">
            <v>E1733</v>
          </cell>
          <cell r="D99">
            <v>1705789.85</v>
          </cell>
          <cell r="E99">
            <v>0</v>
          </cell>
          <cell r="F99">
            <v>0</v>
          </cell>
          <cell r="G99">
            <v>0</v>
          </cell>
          <cell r="H99">
            <v>990866.12</v>
          </cell>
          <cell r="I99">
            <v>9791</v>
          </cell>
          <cell r="J99">
            <v>98928</v>
          </cell>
          <cell r="K99">
            <v>0</v>
          </cell>
          <cell r="L99">
            <v>0</v>
          </cell>
          <cell r="M99">
            <v>0</v>
          </cell>
          <cell r="N99">
            <v>974547.68</v>
          </cell>
          <cell r="O99">
            <v>1213748.33</v>
          </cell>
          <cell r="P99">
            <v>0.9</v>
          </cell>
          <cell r="Q99">
            <v>1.036</v>
          </cell>
          <cell r="S99">
            <v>2968</v>
          </cell>
          <cell r="T99">
            <v>132626746</v>
          </cell>
          <cell r="U99">
            <v>536676.49</v>
          </cell>
          <cell r="X99">
            <v>143</v>
          </cell>
          <cell r="Y99">
            <v>0</v>
          </cell>
          <cell r="Z99">
            <v>0</v>
          </cell>
          <cell r="AA99">
            <v>4</v>
          </cell>
          <cell r="AB99">
            <v>110</v>
          </cell>
          <cell r="AC99">
            <v>60</v>
          </cell>
          <cell r="AD99">
            <v>1</v>
          </cell>
          <cell r="AE99">
            <v>0</v>
          </cell>
          <cell r="AF99">
            <v>0</v>
          </cell>
          <cell r="AG99">
            <v>0</v>
          </cell>
          <cell r="AH99">
            <v>0</v>
          </cell>
          <cell r="AI99">
            <v>2135</v>
          </cell>
          <cell r="AJ99">
            <v>690</v>
          </cell>
          <cell r="AK99">
            <v>393</v>
          </cell>
          <cell r="AL99">
            <v>297</v>
          </cell>
          <cell r="AM99">
            <v>135</v>
          </cell>
        </row>
        <row r="100">
          <cell r="A100">
            <v>93</v>
          </cell>
          <cell r="B100" t="str">
            <v>Eden</v>
          </cell>
          <cell r="C100" t="str">
            <v>E0935</v>
          </cell>
          <cell r="D100">
            <v>1086925.6200000001</v>
          </cell>
          <cell r="E100">
            <v>70541.16</v>
          </cell>
          <cell r="F100">
            <v>59008.78</v>
          </cell>
          <cell r="G100">
            <v>0</v>
          </cell>
          <cell r="H100">
            <v>234375.58</v>
          </cell>
          <cell r="I100">
            <v>12176.78</v>
          </cell>
          <cell r="J100">
            <v>29556.82</v>
          </cell>
          <cell r="K100">
            <v>491.83</v>
          </cell>
          <cell r="L100">
            <v>12819.05</v>
          </cell>
          <cell r="M100">
            <v>2475.56</v>
          </cell>
          <cell r="N100">
            <v>310078.36</v>
          </cell>
          <cell r="O100">
            <v>1719265.32</v>
          </cell>
          <cell r="P100">
            <v>0.9</v>
          </cell>
          <cell r="Q100">
            <v>1</v>
          </cell>
          <cell r="S100">
            <v>3210</v>
          </cell>
          <cell r="T100">
            <v>51573569</v>
          </cell>
          <cell r="U100">
            <v>185899.63</v>
          </cell>
          <cell r="X100">
            <v>267</v>
          </cell>
          <cell r="Y100">
            <v>10</v>
          </cell>
          <cell r="Z100">
            <v>59</v>
          </cell>
          <cell r="AA100">
            <v>0</v>
          </cell>
          <cell r="AB100">
            <v>175</v>
          </cell>
          <cell r="AC100">
            <v>169</v>
          </cell>
          <cell r="AD100">
            <v>31</v>
          </cell>
          <cell r="AE100">
            <v>5</v>
          </cell>
          <cell r="AF100">
            <v>25</v>
          </cell>
          <cell r="AG100">
            <v>4</v>
          </cell>
          <cell r="AH100">
            <v>0</v>
          </cell>
          <cell r="AI100">
            <v>2008</v>
          </cell>
          <cell r="AJ100">
            <v>1163</v>
          </cell>
          <cell r="AK100">
            <v>905</v>
          </cell>
          <cell r="AL100">
            <v>258</v>
          </cell>
          <cell r="AM100">
            <v>36</v>
          </cell>
        </row>
        <row r="101">
          <cell r="A101">
            <v>94</v>
          </cell>
          <cell r="B101" t="str">
            <v>Elmbridge</v>
          </cell>
          <cell r="C101" t="str">
            <v>E3631</v>
          </cell>
          <cell r="D101">
            <v>2802980.55</v>
          </cell>
          <cell r="E101">
            <v>51625.760000000002</v>
          </cell>
          <cell r="F101">
            <v>0</v>
          </cell>
          <cell r="G101">
            <v>0</v>
          </cell>
          <cell r="H101">
            <v>1996490.06</v>
          </cell>
          <cell r="I101">
            <v>21670.91</v>
          </cell>
          <cell r="J101">
            <v>255008.2</v>
          </cell>
          <cell r="K101">
            <v>0</v>
          </cell>
          <cell r="L101">
            <v>0</v>
          </cell>
          <cell r="M101">
            <v>0</v>
          </cell>
          <cell r="N101">
            <v>926436.01</v>
          </cell>
          <cell r="O101">
            <v>1559123.33</v>
          </cell>
          <cell r="P101">
            <v>0.9</v>
          </cell>
          <cell r="Q101">
            <v>1.1039000000000001</v>
          </cell>
          <cell r="S101">
            <v>3579</v>
          </cell>
          <cell r="T101">
            <v>128524212</v>
          </cell>
          <cell r="U101">
            <v>501981.5</v>
          </cell>
          <cell r="X101">
            <v>218</v>
          </cell>
          <cell r="Y101">
            <v>17</v>
          </cell>
          <cell r="Z101">
            <v>0</v>
          </cell>
          <cell r="AA101">
            <v>0</v>
          </cell>
          <cell r="AB101">
            <v>421</v>
          </cell>
          <cell r="AC101">
            <v>114</v>
          </cell>
          <cell r="AD101">
            <v>17</v>
          </cell>
          <cell r="AE101">
            <v>0</v>
          </cell>
          <cell r="AF101">
            <v>0</v>
          </cell>
          <cell r="AG101">
            <v>0</v>
          </cell>
          <cell r="AH101">
            <v>0</v>
          </cell>
          <cell r="AI101">
            <v>2608</v>
          </cell>
          <cell r="AJ101">
            <v>849</v>
          </cell>
          <cell r="AK101">
            <v>439</v>
          </cell>
          <cell r="AL101">
            <v>410</v>
          </cell>
          <cell r="AM101">
            <v>98</v>
          </cell>
        </row>
        <row r="102">
          <cell r="A102">
            <v>95</v>
          </cell>
          <cell r="B102" t="str">
            <v>Enfield</v>
          </cell>
          <cell r="C102" t="str">
            <v>E5037</v>
          </cell>
          <cell r="D102">
            <v>4252200.38</v>
          </cell>
          <cell r="E102">
            <v>89328.320000000007</v>
          </cell>
          <cell r="F102">
            <v>0</v>
          </cell>
          <cell r="G102">
            <v>0</v>
          </cell>
          <cell r="H102">
            <v>1812618</v>
          </cell>
          <cell r="I102">
            <v>42965.55</v>
          </cell>
          <cell r="J102">
            <v>338188.82</v>
          </cell>
          <cell r="K102">
            <v>0</v>
          </cell>
          <cell r="L102">
            <v>0</v>
          </cell>
          <cell r="M102">
            <v>0</v>
          </cell>
          <cell r="N102">
            <v>1700612.49</v>
          </cell>
          <cell r="O102">
            <v>3071735</v>
          </cell>
          <cell r="P102">
            <v>1.5</v>
          </cell>
          <cell r="Q102">
            <v>1.0760000000000001</v>
          </cell>
          <cell r="S102">
            <v>6972</v>
          </cell>
          <cell r="T102">
            <v>257556647</v>
          </cell>
          <cell r="U102">
            <v>1518355.68</v>
          </cell>
          <cell r="X102">
            <v>279</v>
          </cell>
          <cell r="Y102">
            <v>11</v>
          </cell>
          <cell r="Z102">
            <v>0</v>
          </cell>
          <cell r="AA102">
            <v>0</v>
          </cell>
          <cell r="AB102">
            <v>332</v>
          </cell>
          <cell r="AC102">
            <v>135</v>
          </cell>
          <cell r="AD102">
            <v>51</v>
          </cell>
          <cell r="AE102">
            <v>0</v>
          </cell>
          <cell r="AF102">
            <v>0</v>
          </cell>
          <cell r="AG102">
            <v>0</v>
          </cell>
          <cell r="AH102">
            <v>0</v>
          </cell>
          <cell r="AI102">
            <v>2420</v>
          </cell>
          <cell r="AJ102">
            <v>1674</v>
          </cell>
          <cell r="AK102">
            <v>636</v>
          </cell>
          <cell r="AL102">
            <v>1038</v>
          </cell>
          <cell r="AM102">
            <v>2905</v>
          </cell>
        </row>
        <row r="103">
          <cell r="A103">
            <v>96</v>
          </cell>
          <cell r="B103" t="str">
            <v>Epping Forest</v>
          </cell>
          <cell r="C103" t="str">
            <v>E1537</v>
          </cell>
          <cell r="D103">
            <v>2015519.78</v>
          </cell>
          <cell r="E103">
            <v>17990.240000000002</v>
          </cell>
          <cell r="F103">
            <v>8018.35</v>
          </cell>
          <cell r="G103">
            <v>0</v>
          </cell>
          <cell r="H103">
            <v>1233334.3799999999</v>
          </cell>
          <cell r="I103">
            <v>3311.8</v>
          </cell>
          <cell r="J103">
            <v>44951.6</v>
          </cell>
          <cell r="K103">
            <v>0</v>
          </cell>
          <cell r="L103">
            <v>3608.27</v>
          </cell>
          <cell r="M103">
            <v>6458.16</v>
          </cell>
          <cell r="N103">
            <v>558075.53</v>
          </cell>
          <cell r="O103">
            <v>1816383</v>
          </cell>
          <cell r="P103">
            <v>0.9</v>
          </cell>
          <cell r="Q103">
            <v>1.0618000000000001</v>
          </cell>
          <cell r="S103">
            <v>3833</v>
          </cell>
          <cell r="T103">
            <v>87032249</v>
          </cell>
          <cell r="U103">
            <v>328339.88</v>
          </cell>
          <cell r="X103">
            <v>129</v>
          </cell>
          <cell r="Y103">
            <v>4</v>
          </cell>
          <cell r="Z103">
            <v>5</v>
          </cell>
          <cell r="AA103">
            <v>0</v>
          </cell>
          <cell r="AB103">
            <v>209</v>
          </cell>
          <cell r="AC103">
            <v>14</v>
          </cell>
          <cell r="AD103">
            <v>34</v>
          </cell>
          <cell r="AE103">
            <v>0</v>
          </cell>
          <cell r="AF103">
            <v>5</v>
          </cell>
          <cell r="AG103">
            <v>3</v>
          </cell>
          <cell r="AH103">
            <v>0</v>
          </cell>
          <cell r="AI103">
            <v>2531</v>
          </cell>
          <cell r="AJ103">
            <v>1059</v>
          </cell>
          <cell r="AK103">
            <v>523</v>
          </cell>
          <cell r="AL103">
            <v>536</v>
          </cell>
          <cell r="AM103">
            <v>221</v>
          </cell>
        </row>
        <row r="104">
          <cell r="A104">
            <v>97</v>
          </cell>
          <cell r="B104" t="str">
            <v>Epsom &amp; Ewell</v>
          </cell>
          <cell r="C104" t="str">
            <v>E3632</v>
          </cell>
          <cell r="D104">
            <v>2368227.2724398398</v>
          </cell>
          <cell r="E104">
            <v>46441.2</v>
          </cell>
          <cell r="F104">
            <v>0</v>
          </cell>
          <cell r="G104">
            <v>0</v>
          </cell>
          <cell r="H104">
            <v>578382.03</v>
          </cell>
          <cell r="I104">
            <v>15868.65</v>
          </cell>
          <cell r="J104">
            <v>411.08</v>
          </cell>
          <cell r="K104">
            <v>2035.93</v>
          </cell>
          <cell r="L104">
            <v>0</v>
          </cell>
          <cell r="M104">
            <v>0</v>
          </cell>
          <cell r="N104">
            <v>429663.88</v>
          </cell>
          <cell r="O104">
            <v>833461.02</v>
          </cell>
          <cell r="P104">
            <v>0.9</v>
          </cell>
          <cell r="Q104">
            <v>1.1039000000000001</v>
          </cell>
          <cell r="S104">
            <v>1726</v>
          </cell>
          <cell r="T104">
            <v>60525856</v>
          </cell>
          <cell r="U104">
            <v>225851.24</v>
          </cell>
          <cell r="X104">
            <v>81</v>
          </cell>
          <cell r="Y104">
            <v>4</v>
          </cell>
          <cell r="Z104">
            <v>0</v>
          </cell>
          <cell r="AA104">
            <v>0</v>
          </cell>
          <cell r="AB104">
            <v>153</v>
          </cell>
          <cell r="AC104">
            <v>30</v>
          </cell>
          <cell r="AD104">
            <v>1</v>
          </cell>
          <cell r="AE104">
            <v>4</v>
          </cell>
          <cell r="AF104">
            <v>0</v>
          </cell>
          <cell r="AG104">
            <v>0</v>
          </cell>
          <cell r="AH104">
            <v>0</v>
          </cell>
          <cell r="AI104">
            <v>771</v>
          </cell>
          <cell r="AJ104">
            <v>923</v>
          </cell>
          <cell r="AK104">
            <v>178</v>
          </cell>
          <cell r="AL104">
            <v>229</v>
          </cell>
          <cell r="AM104">
            <v>407</v>
          </cell>
        </row>
        <row r="105">
          <cell r="A105">
            <v>98</v>
          </cell>
          <cell r="B105" t="str">
            <v>Erewash</v>
          </cell>
          <cell r="C105" t="str">
            <v>E1036</v>
          </cell>
          <cell r="D105">
            <v>1400043.45</v>
          </cell>
          <cell r="E105">
            <v>76266.490000000005</v>
          </cell>
          <cell r="F105">
            <v>1946.5</v>
          </cell>
          <cell r="G105">
            <v>0</v>
          </cell>
          <cell r="H105">
            <v>499929</v>
          </cell>
          <cell r="I105">
            <v>4704.59</v>
          </cell>
          <cell r="J105">
            <v>25466.11</v>
          </cell>
          <cell r="K105">
            <v>0</v>
          </cell>
          <cell r="L105">
            <v>850.16</v>
          </cell>
          <cell r="M105">
            <v>0</v>
          </cell>
          <cell r="N105">
            <v>381148.2</v>
          </cell>
          <cell r="O105">
            <v>1982729.8</v>
          </cell>
          <cell r="P105">
            <v>0.9</v>
          </cell>
          <cell r="Q105">
            <v>1</v>
          </cell>
          <cell r="S105">
            <v>3379</v>
          </cell>
          <cell r="T105">
            <v>63032835</v>
          </cell>
          <cell r="U105">
            <v>235109.2</v>
          </cell>
          <cell r="X105">
            <v>115</v>
          </cell>
          <cell r="Y105">
            <v>16</v>
          </cell>
          <cell r="Z105">
            <v>3</v>
          </cell>
          <cell r="AA105">
            <v>0</v>
          </cell>
          <cell r="AB105">
            <v>251</v>
          </cell>
          <cell r="AC105">
            <v>21</v>
          </cell>
          <cell r="AD105">
            <v>34</v>
          </cell>
          <cell r="AE105">
            <v>0</v>
          </cell>
          <cell r="AF105">
            <v>1</v>
          </cell>
          <cell r="AG105">
            <v>0</v>
          </cell>
          <cell r="AH105">
            <v>0</v>
          </cell>
          <cell r="AI105">
            <v>2072</v>
          </cell>
          <cell r="AJ105">
            <v>1236</v>
          </cell>
          <cell r="AK105">
            <v>914</v>
          </cell>
          <cell r="AL105">
            <v>322</v>
          </cell>
          <cell r="AM105">
            <v>49</v>
          </cell>
        </row>
        <row r="106">
          <cell r="A106">
            <v>99</v>
          </cell>
          <cell r="B106" t="str">
            <v>Exeter</v>
          </cell>
          <cell r="C106" t="str">
            <v>E1132</v>
          </cell>
          <cell r="D106">
            <v>4341934.0800000001</v>
          </cell>
          <cell r="E106">
            <v>36653.129999999997</v>
          </cell>
          <cell r="F106">
            <v>0</v>
          </cell>
          <cell r="G106">
            <v>7359.1</v>
          </cell>
          <cell r="H106">
            <v>2151486.15</v>
          </cell>
          <cell r="I106">
            <v>101058.63</v>
          </cell>
          <cell r="J106">
            <v>34350</v>
          </cell>
          <cell r="K106">
            <v>1009.76</v>
          </cell>
          <cell r="L106">
            <v>0</v>
          </cell>
          <cell r="M106">
            <v>0</v>
          </cell>
          <cell r="N106">
            <v>1358624.32</v>
          </cell>
          <cell r="O106">
            <v>1587519.82</v>
          </cell>
          <cell r="P106">
            <v>0.9</v>
          </cell>
          <cell r="Q106">
            <v>1</v>
          </cell>
          <cell r="S106">
            <v>4727</v>
          </cell>
          <cell r="T106">
            <v>185545451</v>
          </cell>
          <cell r="U106">
            <v>721860.38</v>
          </cell>
          <cell r="X106">
            <v>274</v>
          </cell>
          <cell r="Y106">
            <v>14</v>
          </cell>
          <cell r="Z106">
            <v>0</v>
          </cell>
          <cell r="AA106">
            <v>1</v>
          </cell>
          <cell r="AB106">
            <v>719</v>
          </cell>
          <cell r="AC106">
            <v>65</v>
          </cell>
          <cell r="AD106">
            <v>13</v>
          </cell>
          <cell r="AE106">
            <v>5</v>
          </cell>
          <cell r="AF106">
            <v>0</v>
          </cell>
          <cell r="AG106">
            <v>0</v>
          </cell>
          <cell r="AH106">
            <v>0</v>
          </cell>
          <cell r="AI106">
            <v>3769</v>
          </cell>
          <cell r="AJ106">
            <v>849</v>
          </cell>
          <cell r="AK106">
            <v>450</v>
          </cell>
          <cell r="AL106">
            <v>399</v>
          </cell>
          <cell r="AM106">
            <v>116</v>
          </cell>
        </row>
        <row r="107">
          <cell r="A107">
            <v>100</v>
          </cell>
          <cell r="B107" t="str">
            <v>Fareham</v>
          </cell>
          <cell r="C107" t="str">
            <v>E1734</v>
          </cell>
          <cell r="D107">
            <v>2350847.35</v>
          </cell>
          <cell r="E107">
            <v>0</v>
          </cell>
          <cell r="F107">
            <v>0</v>
          </cell>
          <cell r="G107">
            <v>0</v>
          </cell>
          <cell r="H107">
            <v>1539305.08</v>
          </cell>
          <cell r="I107">
            <v>25931.27</v>
          </cell>
          <cell r="J107">
            <v>161073.24</v>
          </cell>
          <cell r="K107">
            <v>0</v>
          </cell>
          <cell r="L107">
            <v>0</v>
          </cell>
          <cell r="M107">
            <v>0</v>
          </cell>
          <cell r="N107">
            <v>765764.87</v>
          </cell>
          <cell r="O107">
            <v>1295393.42</v>
          </cell>
          <cell r="P107">
            <v>0.9</v>
          </cell>
          <cell r="Q107">
            <v>1.036</v>
          </cell>
          <cell r="S107">
            <v>3003</v>
          </cell>
          <cell r="T107">
            <v>103922249</v>
          </cell>
          <cell r="U107">
            <v>387953.14</v>
          </cell>
          <cell r="X107">
            <v>107</v>
          </cell>
          <cell r="Y107">
            <v>0</v>
          </cell>
          <cell r="Z107">
            <v>0</v>
          </cell>
          <cell r="AA107">
            <v>0</v>
          </cell>
          <cell r="AB107">
            <v>335</v>
          </cell>
          <cell r="AC107">
            <v>87</v>
          </cell>
          <cell r="AD107">
            <v>39</v>
          </cell>
          <cell r="AE107">
            <v>0</v>
          </cell>
          <cell r="AF107">
            <v>0</v>
          </cell>
          <cell r="AG107">
            <v>0</v>
          </cell>
          <cell r="AH107">
            <v>0</v>
          </cell>
          <cell r="AI107">
            <v>2050</v>
          </cell>
          <cell r="AJ107">
            <v>845</v>
          </cell>
          <cell r="AK107">
            <v>471</v>
          </cell>
          <cell r="AL107">
            <v>374</v>
          </cell>
          <cell r="AM107">
            <v>108</v>
          </cell>
        </row>
        <row r="108">
          <cell r="A108">
            <v>101</v>
          </cell>
          <cell r="B108" t="str">
            <v>Fenland</v>
          </cell>
          <cell r="C108" t="str">
            <v>E0533</v>
          </cell>
          <cell r="D108">
            <v>1017694.04</v>
          </cell>
          <cell r="E108">
            <v>24546.01</v>
          </cell>
          <cell r="F108">
            <v>29673.71</v>
          </cell>
          <cell r="G108">
            <v>0</v>
          </cell>
          <cell r="H108">
            <v>326603.62</v>
          </cell>
          <cell r="I108">
            <v>6816.76</v>
          </cell>
          <cell r="J108">
            <v>59178.44</v>
          </cell>
          <cell r="K108">
            <v>0</v>
          </cell>
          <cell r="L108">
            <v>22255.279999999999</v>
          </cell>
          <cell r="M108">
            <v>0</v>
          </cell>
          <cell r="N108">
            <v>395048.8</v>
          </cell>
          <cell r="O108">
            <v>1754205.43</v>
          </cell>
          <cell r="P108">
            <v>0.9</v>
          </cell>
          <cell r="Q108">
            <v>1.0339</v>
          </cell>
          <cell r="S108">
            <v>2953</v>
          </cell>
          <cell r="T108">
            <v>61888401</v>
          </cell>
          <cell r="U108">
            <v>228578.25</v>
          </cell>
          <cell r="X108">
            <v>161</v>
          </cell>
          <cell r="Y108">
            <v>10</v>
          </cell>
          <cell r="Z108">
            <v>31</v>
          </cell>
          <cell r="AA108">
            <v>0</v>
          </cell>
          <cell r="AB108">
            <v>341</v>
          </cell>
          <cell r="AC108">
            <v>148</v>
          </cell>
          <cell r="AD108">
            <v>38</v>
          </cell>
          <cell r="AE108">
            <v>0</v>
          </cell>
          <cell r="AF108">
            <v>33</v>
          </cell>
          <cell r="AG108">
            <v>6</v>
          </cell>
          <cell r="AH108">
            <v>0</v>
          </cell>
          <cell r="AI108">
            <v>1823</v>
          </cell>
          <cell r="AJ108">
            <v>1036</v>
          </cell>
          <cell r="AK108">
            <v>708</v>
          </cell>
          <cell r="AL108">
            <v>328</v>
          </cell>
          <cell r="AM108">
            <v>82</v>
          </cell>
        </row>
        <row r="109">
          <cell r="A109">
            <v>102</v>
          </cell>
          <cell r="B109" t="str">
            <v>Forest Heath</v>
          </cell>
          <cell r="C109" t="str">
            <v>E3532</v>
          </cell>
          <cell r="D109">
            <v>794119.81</v>
          </cell>
          <cell r="E109">
            <v>10091.73</v>
          </cell>
          <cell r="F109">
            <v>17652.09</v>
          </cell>
          <cell r="G109">
            <v>69484.88</v>
          </cell>
          <cell r="H109">
            <v>455869</v>
          </cell>
          <cell r="I109">
            <v>3403.6</v>
          </cell>
          <cell r="J109">
            <v>0</v>
          </cell>
          <cell r="K109">
            <v>157.69</v>
          </cell>
          <cell r="L109">
            <v>1417.42</v>
          </cell>
          <cell r="M109">
            <v>0</v>
          </cell>
          <cell r="N109">
            <v>367259.48</v>
          </cell>
          <cell r="O109">
            <v>1056848.0900000001</v>
          </cell>
          <cell r="P109">
            <v>0.9</v>
          </cell>
          <cell r="Q109">
            <v>1.0054000000000001</v>
          </cell>
          <cell r="S109">
            <v>2097</v>
          </cell>
          <cell r="T109">
            <v>53324900</v>
          </cell>
          <cell r="U109">
            <v>210217.16</v>
          </cell>
          <cell r="X109">
            <v>129</v>
          </cell>
          <cell r="Y109">
            <v>3</v>
          </cell>
          <cell r="Z109">
            <v>13</v>
          </cell>
          <cell r="AA109">
            <v>14</v>
          </cell>
          <cell r="AB109">
            <v>219</v>
          </cell>
          <cell r="AC109">
            <v>49</v>
          </cell>
          <cell r="AD109">
            <v>0</v>
          </cell>
          <cell r="AE109">
            <v>0</v>
          </cell>
          <cell r="AF109">
            <v>3</v>
          </cell>
          <cell r="AG109">
            <v>0</v>
          </cell>
          <cell r="AH109">
            <v>0</v>
          </cell>
          <cell r="AI109">
            <v>1400</v>
          </cell>
          <cell r="AJ109">
            <v>657</v>
          </cell>
          <cell r="AK109">
            <v>439</v>
          </cell>
          <cell r="AL109">
            <v>218</v>
          </cell>
          <cell r="AM109">
            <v>86</v>
          </cell>
        </row>
        <row r="110">
          <cell r="A110">
            <v>103</v>
          </cell>
          <cell r="B110" t="str">
            <v>Forest of Dean</v>
          </cell>
          <cell r="C110" t="str">
            <v>E1633</v>
          </cell>
          <cell r="D110">
            <v>1265244.24</v>
          </cell>
          <cell r="E110">
            <v>2617.94</v>
          </cell>
          <cell r="F110">
            <v>51329.06</v>
          </cell>
          <cell r="G110">
            <v>0</v>
          </cell>
          <cell r="H110">
            <v>374009.76</v>
          </cell>
          <cell r="I110">
            <v>12162.56</v>
          </cell>
          <cell r="J110">
            <v>50527.55</v>
          </cell>
          <cell r="K110">
            <v>95.61</v>
          </cell>
          <cell r="L110">
            <v>38050.14</v>
          </cell>
          <cell r="M110">
            <v>0</v>
          </cell>
          <cell r="N110">
            <v>182703.08</v>
          </cell>
          <cell r="O110">
            <v>1685667.11</v>
          </cell>
          <cell r="P110">
            <v>0.9</v>
          </cell>
          <cell r="Q110">
            <v>1.0197000000000001</v>
          </cell>
          <cell r="S110">
            <v>3068</v>
          </cell>
          <cell r="T110">
            <v>34297734</v>
          </cell>
          <cell r="U110">
            <v>112924.79</v>
          </cell>
          <cell r="X110">
            <v>205</v>
          </cell>
          <cell r="Y110">
            <v>3</v>
          </cell>
          <cell r="Z110">
            <v>67</v>
          </cell>
          <cell r="AA110">
            <v>0</v>
          </cell>
          <cell r="AB110">
            <v>252</v>
          </cell>
          <cell r="AC110">
            <v>150</v>
          </cell>
          <cell r="AD110">
            <v>53</v>
          </cell>
          <cell r="AE110">
            <v>2</v>
          </cell>
          <cell r="AF110">
            <v>66</v>
          </cell>
          <cell r="AG110">
            <v>0</v>
          </cell>
          <cell r="AH110">
            <v>0</v>
          </cell>
          <cell r="AI110">
            <v>1873</v>
          </cell>
          <cell r="AJ110">
            <v>1208</v>
          </cell>
          <cell r="AK110">
            <v>982</v>
          </cell>
          <cell r="AL110">
            <v>226</v>
          </cell>
          <cell r="AM110">
            <v>50</v>
          </cell>
        </row>
        <row r="111">
          <cell r="A111">
            <v>104</v>
          </cell>
          <cell r="B111" t="str">
            <v>Fylde</v>
          </cell>
          <cell r="C111" t="str">
            <v>E2335</v>
          </cell>
          <cell r="D111">
            <v>874872.08</v>
          </cell>
          <cell r="E111">
            <v>5234.6000000000004</v>
          </cell>
          <cell r="F111">
            <v>3053.72</v>
          </cell>
          <cell r="G111">
            <v>0</v>
          </cell>
          <cell r="H111">
            <v>412529</v>
          </cell>
          <cell r="I111">
            <v>12704.87</v>
          </cell>
          <cell r="J111">
            <v>20519.919999999998</v>
          </cell>
          <cell r="K111">
            <v>181.5</v>
          </cell>
          <cell r="L111">
            <v>2181.2199999999998</v>
          </cell>
          <cell r="M111">
            <v>0</v>
          </cell>
          <cell r="N111">
            <v>420941.26</v>
          </cell>
          <cell r="O111">
            <v>1581389.98</v>
          </cell>
          <cell r="P111">
            <v>0.9</v>
          </cell>
          <cell r="Q111">
            <v>1</v>
          </cell>
          <cell r="S111">
            <v>2613</v>
          </cell>
          <cell r="T111">
            <v>61763495</v>
          </cell>
          <cell r="U111">
            <v>239750.01</v>
          </cell>
          <cell r="X111">
            <v>76</v>
          </cell>
          <cell r="Y111">
            <v>4</v>
          </cell>
          <cell r="Z111">
            <v>5</v>
          </cell>
          <cell r="AA111">
            <v>0</v>
          </cell>
          <cell r="AB111">
            <v>399</v>
          </cell>
          <cell r="AC111">
            <v>0</v>
          </cell>
          <cell r="AD111">
            <v>14</v>
          </cell>
          <cell r="AE111">
            <v>1</v>
          </cell>
          <cell r="AF111">
            <v>6</v>
          </cell>
          <cell r="AG111">
            <v>0</v>
          </cell>
          <cell r="AH111">
            <v>0</v>
          </cell>
          <cell r="AI111">
            <v>1643</v>
          </cell>
          <cell r="AJ111">
            <v>903</v>
          </cell>
          <cell r="AK111">
            <v>603</v>
          </cell>
          <cell r="AL111">
            <v>300</v>
          </cell>
          <cell r="AM111">
            <v>80</v>
          </cell>
        </row>
        <row r="112">
          <cell r="A112">
            <v>105</v>
          </cell>
          <cell r="B112" t="str">
            <v>Gateshead</v>
          </cell>
          <cell r="C112" t="str">
            <v>E4501</v>
          </cell>
          <cell r="D112">
            <v>3056831.94</v>
          </cell>
          <cell r="E112">
            <v>85077.759999999995</v>
          </cell>
          <cell r="F112">
            <v>18755</v>
          </cell>
          <cell r="G112">
            <v>500000</v>
          </cell>
          <cell r="H112">
            <v>3515465</v>
          </cell>
          <cell r="I112">
            <v>62114.82</v>
          </cell>
          <cell r="J112">
            <v>53288.12</v>
          </cell>
          <cell r="K112">
            <v>2640</v>
          </cell>
          <cell r="L112">
            <v>11250</v>
          </cell>
          <cell r="M112">
            <v>11250</v>
          </cell>
          <cell r="N112">
            <v>1516777.34</v>
          </cell>
          <cell r="O112">
            <v>3030284.86</v>
          </cell>
          <cell r="P112">
            <v>1.7</v>
          </cell>
          <cell r="Q112">
            <v>1</v>
          </cell>
          <cell r="S112">
            <v>6507</v>
          </cell>
          <cell r="T112">
            <v>211063950</v>
          </cell>
          <cell r="U112">
            <v>1147637.3400000001</v>
          </cell>
          <cell r="X112">
            <v>248</v>
          </cell>
          <cell r="Y112">
            <v>14</v>
          </cell>
          <cell r="Z112">
            <v>9</v>
          </cell>
          <cell r="AA112">
            <v>0</v>
          </cell>
          <cell r="AB112">
            <v>1057</v>
          </cell>
          <cell r="AC112">
            <v>76</v>
          </cell>
          <cell r="AD112">
            <v>23</v>
          </cell>
          <cell r="AE112">
            <v>0</v>
          </cell>
          <cell r="AF112">
            <v>0</v>
          </cell>
          <cell r="AG112">
            <v>0</v>
          </cell>
          <cell r="AH112">
            <v>0</v>
          </cell>
          <cell r="AI112">
            <v>4490</v>
          </cell>
          <cell r="AJ112">
            <v>1876</v>
          </cell>
          <cell r="AK112">
            <v>1357</v>
          </cell>
          <cell r="AL112">
            <v>519</v>
          </cell>
          <cell r="AM112">
            <v>135</v>
          </cell>
        </row>
        <row r="113">
          <cell r="A113">
            <v>106</v>
          </cell>
          <cell r="B113" t="str">
            <v>Gedling</v>
          </cell>
          <cell r="C113" t="str">
            <v>E3034</v>
          </cell>
          <cell r="D113">
            <v>869059.91</v>
          </cell>
          <cell r="E113">
            <v>45891.6</v>
          </cell>
          <cell r="F113">
            <v>2032.38</v>
          </cell>
          <cell r="G113">
            <v>0</v>
          </cell>
          <cell r="H113">
            <v>241532.53</v>
          </cell>
          <cell r="I113">
            <v>19750.080000000002</v>
          </cell>
          <cell r="J113">
            <v>31325.74</v>
          </cell>
          <cell r="K113">
            <v>1379.73</v>
          </cell>
          <cell r="L113">
            <v>4370.03</v>
          </cell>
          <cell r="M113">
            <v>0</v>
          </cell>
          <cell r="N113">
            <v>335601.28</v>
          </cell>
          <cell r="O113">
            <v>1324723.48</v>
          </cell>
          <cell r="P113">
            <v>0.9</v>
          </cell>
          <cell r="Q113">
            <v>1.0121</v>
          </cell>
          <cell r="S113">
            <v>2418</v>
          </cell>
          <cell r="T113">
            <v>52481564</v>
          </cell>
          <cell r="U113">
            <v>205722.2</v>
          </cell>
          <cell r="X113">
            <v>103</v>
          </cell>
          <cell r="Y113">
            <v>4</v>
          </cell>
          <cell r="Z113">
            <v>3</v>
          </cell>
          <cell r="AA113">
            <v>0</v>
          </cell>
          <cell r="AB113">
            <v>169</v>
          </cell>
          <cell r="AC113">
            <v>77</v>
          </cell>
          <cell r="AD113">
            <v>14</v>
          </cell>
          <cell r="AE113">
            <v>2</v>
          </cell>
          <cell r="AF113">
            <v>4</v>
          </cell>
          <cell r="AG113">
            <v>0</v>
          </cell>
          <cell r="AH113">
            <v>0</v>
          </cell>
          <cell r="AI113">
            <v>1513</v>
          </cell>
          <cell r="AJ113">
            <v>824</v>
          </cell>
          <cell r="AK113">
            <v>569</v>
          </cell>
          <cell r="AL113">
            <v>255</v>
          </cell>
          <cell r="AM113">
            <v>77</v>
          </cell>
        </row>
        <row r="114">
          <cell r="A114">
            <v>107</v>
          </cell>
          <cell r="B114" t="str">
            <v>Gloucester</v>
          </cell>
          <cell r="C114" t="str">
            <v>E1634</v>
          </cell>
          <cell r="D114">
            <v>2675089.4900000002</v>
          </cell>
          <cell r="E114">
            <v>34379.33</v>
          </cell>
          <cell r="F114">
            <v>0</v>
          </cell>
          <cell r="G114">
            <v>0</v>
          </cell>
          <cell r="H114">
            <v>1400144.28</v>
          </cell>
          <cell r="I114">
            <v>580.74</v>
          </cell>
          <cell r="J114">
            <v>35387.040000000001</v>
          </cell>
          <cell r="K114">
            <v>0</v>
          </cell>
          <cell r="L114">
            <v>0</v>
          </cell>
          <cell r="M114">
            <v>0</v>
          </cell>
          <cell r="N114">
            <v>882992.61</v>
          </cell>
          <cell r="O114">
            <v>1471483.27</v>
          </cell>
          <cell r="P114">
            <v>0.9</v>
          </cell>
          <cell r="Q114">
            <v>1.0197000000000001</v>
          </cell>
          <cell r="S114">
            <v>3924</v>
          </cell>
          <cell r="T114">
            <v>124130071</v>
          </cell>
          <cell r="U114">
            <v>488373.94</v>
          </cell>
          <cell r="X114">
            <v>215</v>
          </cell>
          <cell r="Y114">
            <v>14</v>
          </cell>
          <cell r="Z114">
            <v>0</v>
          </cell>
          <cell r="AA114">
            <v>4</v>
          </cell>
          <cell r="AB114">
            <v>335</v>
          </cell>
          <cell r="AC114">
            <v>3</v>
          </cell>
          <cell r="AD114">
            <v>6</v>
          </cell>
          <cell r="AE114">
            <v>0</v>
          </cell>
          <cell r="AF114">
            <v>0</v>
          </cell>
          <cell r="AG114">
            <v>0</v>
          </cell>
          <cell r="AH114">
            <v>0</v>
          </cell>
          <cell r="AI114">
            <v>2986</v>
          </cell>
          <cell r="AJ114">
            <v>934</v>
          </cell>
          <cell r="AK114">
            <v>699</v>
          </cell>
          <cell r="AL114">
            <v>235</v>
          </cell>
          <cell r="AM114">
            <v>71</v>
          </cell>
        </row>
        <row r="115">
          <cell r="A115">
            <v>108</v>
          </cell>
          <cell r="B115" t="str">
            <v>Gosport</v>
          </cell>
          <cell r="C115" t="str">
            <v>E1735</v>
          </cell>
          <cell r="D115">
            <v>862071.68</v>
          </cell>
          <cell r="E115">
            <v>14820.88</v>
          </cell>
          <cell r="F115">
            <v>0</v>
          </cell>
          <cell r="G115">
            <v>0</v>
          </cell>
          <cell r="H115">
            <v>176820.16</v>
          </cell>
          <cell r="I115">
            <v>13236.98</v>
          </cell>
          <cell r="J115">
            <v>85154.96</v>
          </cell>
          <cell r="K115">
            <v>0</v>
          </cell>
          <cell r="L115">
            <v>0</v>
          </cell>
          <cell r="M115">
            <v>0</v>
          </cell>
          <cell r="N115">
            <v>257849.36</v>
          </cell>
          <cell r="O115">
            <v>1018512.6</v>
          </cell>
          <cell r="P115">
            <v>0.9</v>
          </cell>
          <cell r="Q115">
            <v>1.036</v>
          </cell>
          <cell r="S115">
            <v>1911</v>
          </cell>
          <cell r="T115">
            <v>39718816</v>
          </cell>
          <cell r="U115">
            <v>151539.44</v>
          </cell>
          <cell r="X115">
            <v>101</v>
          </cell>
          <cell r="Y115">
            <v>4</v>
          </cell>
          <cell r="Z115">
            <v>0</v>
          </cell>
          <cell r="AA115">
            <v>0</v>
          </cell>
          <cell r="AB115">
            <v>86</v>
          </cell>
          <cell r="AC115">
            <v>38</v>
          </cell>
          <cell r="AD115">
            <v>15</v>
          </cell>
          <cell r="AE115">
            <v>0</v>
          </cell>
          <cell r="AF115">
            <v>0</v>
          </cell>
          <cell r="AG115">
            <v>0</v>
          </cell>
          <cell r="AH115">
            <v>3</v>
          </cell>
          <cell r="AI115">
            <v>1231</v>
          </cell>
          <cell r="AJ115">
            <v>672</v>
          </cell>
          <cell r="AK115">
            <v>402</v>
          </cell>
          <cell r="AL115">
            <v>215</v>
          </cell>
          <cell r="AM115">
            <v>55</v>
          </cell>
        </row>
        <row r="116">
          <cell r="A116">
            <v>109</v>
          </cell>
          <cell r="B116" t="str">
            <v>Gravesham</v>
          </cell>
          <cell r="C116" t="str">
            <v>E2236</v>
          </cell>
          <cell r="D116">
            <v>1990638.25</v>
          </cell>
          <cell r="E116">
            <v>35495</v>
          </cell>
          <cell r="F116">
            <v>7528.25</v>
          </cell>
          <cell r="G116">
            <v>7169.99</v>
          </cell>
          <cell r="H116">
            <v>1223921.29</v>
          </cell>
          <cell r="I116">
            <v>20344.68</v>
          </cell>
          <cell r="J116">
            <v>13223.63</v>
          </cell>
          <cell r="K116">
            <v>52.41</v>
          </cell>
          <cell r="L116">
            <v>919.98</v>
          </cell>
          <cell r="M116">
            <v>0</v>
          </cell>
          <cell r="N116">
            <v>392782.32</v>
          </cell>
          <cell r="O116">
            <v>1087593.71</v>
          </cell>
          <cell r="P116">
            <v>0.9</v>
          </cell>
          <cell r="Q116">
            <v>1.0067999999999999</v>
          </cell>
          <cell r="S116">
            <v>2276</v>
          </cell>
          <cell r="T116">
            <v>57975845</v>
          </cell>
          <cell r="U116">
            <v>210692.58</v>
          </cell>
          <cell r="X116">
            <v>113</v>
          </cell>
          <cell r="Y116">
            <v>13</v>
          </cell>
          <cell r="Z116">
            <v>6</v>
          </cell>
          <cell r="AA116">
            <v>1</v>
          </cell>
          <cell r="AB116">
            <v>333</v>
          </cell>
          <cell r="AC116">
            <v>28</v>
          </cell>
          <cell r="AD116">
            <v>4</v>
          </cell>
          <cell r="AE116">
            <v>1</v>
          </cell>
          <cell r="AF116">
            <v>1</v>
          </cell>
          <cell r="AG116">
            <v>0</v>
          </cell>
          <cell r="AH116">
            <v>0</v>
          </cell>
          <cell r="AI116">
            <v>1638</v>
          </cell>
          <cell r="AJ116">
            <v>587</v>
          </cell>
          <cell r="AK116">
            <v>346</v>
          </cell>
          <cell r="AL116">
            <v>241</v>
          </cell>
          <cell r="AM116">
            <v>38</v>
          </cell>
        </row>
        <row r="117">
          <cell r="A117">
            <v>110</v>
          </cell>
          <cell r="B117" t="str">
            <v>Great Yarmouth</v>
          </cell>
          <cell r="C117" t="str">
            <v>E2633</v>
          </cell>
          <cell r="D117">
            <v>1396057.3</v>
          </cell>
          <cell r="E117">
            <v>18320</v>
          </cell>
          <cell r="F117">
            <v>3562.1</v>
          </cell>
          <cell r="G117">
            <v>15475.05</v>
          </cell>
          <cell r="H117">
            <v>2018180.24</v>
          </cell>
          <cell r="I117">
            <v>27340.84</v>
          </cell>
          <cell r="J117">
            <v>25865.71</v>
          </cell>
          <cell r="K117">
            <v>0</v>
          </cell>
          <cell r="L117">
            <v>558.19000000000005</v>
          </cell>
          <cell r="M117">
            <v>0</v>
          </cell>
          <cell r="N117">
            <v>473152.81</v>
          </cell>
          <cell r="O117">
            <v>2058461.2</v>
          </cell>
          <cell r="P117">
            <v>0.9</v>
          </cell>
          <cell r="Q117">
            <v>1</v>
          </cell>
          <cell r="S117">
            <v>4665</v>
          </cell>
          <cell r="T117">
            <v>76601821</v>
          </cell>
          <cell r="U117">
            <v>270448.28999999998</v>
          </cell>
          <cell r="X117">
            <v>177</v>
          </cell>
          <cell r="Y117">
            <v>1</v>
          </cell>
          <cell r="Z117">
            <v>6</v>
          </cell>
          <cell r="AA117">
            <v>1</v>
          </cell>
          <cell r="AB117">
            <v>555</v>
          </cell>
          <cell r="AC117">
            <v>123</v>
          </cell>
          <cell r="AD117">
            <v>24</v>
          </cell>
          <cell r="AE117">
            <v>0</v>
          </cell>
          <cell r="AF117">
            <v>1</v>
          </cell>
          <cell r="AG117">
            <v>0</v>
          </cell>
          <cell r="AH117">
            <v>4</v>
          </cell>
          <cell r="AI117">
            <v>3213</v>
          </cell>
          <cell r="AJ117">
            <v>1385</v>
          </cell>
          <cell r="AK117">
            <v>1056</v>
          </cell>
          <cell r="AL117">
            <v>329</v>
          </cell>
          <cell r="AM117">
            <v>61</v>
          </cell>
        </row>
        <row r="118">
          <cell r="A118">
            <v>111</v>
          </cell>
          <cell r="B118" t="str">
            <v>Greenwich</v>
          </cell>
          <cell r="C118" t="str">
            <v>E5012</v>
          </cell>
          <cell r="D118">
            <v>6136330.25</v>
          </cell>
          <cell r="E118">
            <v>145868.34</v>
          </cell>
          <cell r="F118">
            <v>0</v>
          </cell>
          <cell r="G118">
            <v>8928.18</v>
          </cell>
          <cell r="H118">
            <v>3185662.93</v>
          </cell>
          <cell r="I118">
            <v>110226.27</v>
          </cell>
          <cell r="J118">
            <v>54501.38</v>
          </cell>
          <cell r="K118">
            <v>0</v>
          </cell>
          <cell r="L118">
            <v>0</v>
          </cell>
          <cell r="M118">
            <v>0</v>
          </cell>
          <cell r="N118">
            <v>1133844.79</v>
          </cell>
          <cell r="O118">
            <v>2669038.15</v>
          </cell>
          <cell r="P118">
            <v>1.1000000000000001</v>
          </cell>
          <cell r="Q118">
            <v>1.2208000000000001</v>
          </cell>
          <cell r="S118">
            <v>4969</v>
          </cell>
          <cell r="T118">
            <v>164810917</v>
          </cell>
          <cell r="U118">
            <v>770268.7</v>
          </cell>
          <cell r="X118">
            <v>284</v>
          </cell>
          <cell r="Y118">
            <v>13</v>
          </cell>
          <cell r="Z118">
            <v>0</v>
          </cell>
          <cell r="AA118">
            <v>1</v>
          </cell>
          <cell r="AB118">
            <v>425</v>
          </cell>
          <cell r="AC118">
            <v>135</v>
          </cell>
          <cell r="AD118">
            <v>14</v>
          </cell>
          <cell r="AE118">
            <v>0</v>
          </cell>
          <cell r="AF118">
            <v>0</v>
          </cell>
          <cell r="AG118">
            <v>0</v>
          </cell>
          <cell r="AH118">
            <v>0</v>
          </cell>
          <cell r="AI118">
            <v>3456</v>
          </cell>
          <cell r="AJ118">
            <v>1352</v>
          </cell>
          <cell r="AK118">
            <v>752</v>
          </cell>
          <cell r="AL118">
            <v>600</v>
          </cell>
          <cell r="AM118">
            <v>168</v>
          </cell>
        </row>
        <row r="119">
          <cell r="A119">
            <v>112</v>
          </cell>
          <cell r="B119" t="str">
            <v>Guildford</v>
          </cell>
          <cell r="C119" t="str">
            <v>E3633</v>
          </cell>
          <cell r="D119">
            <v>6988995.7700000005</v>
          </cell>
          <cell r="E119">
            <v>53384.480000000003</v>
          </cell>
          <cell r="F119">
            <v>20100.48</v>
          </cell>
          <cell r="G119">
            <v>70467.88</v>
          </cell>
          <cell r="H119">
            <v>1037354.08</v>
          </cell>
          <cell r="I119">
            <v>31549.26</v>
          </cell>
          <cell r="J119">
            <v>13923.43</v>
          </cell>
          <cell r="K119">
            <v>0</v>
          </cell>
          <cell r="L119">
            <v>15075.35</v>
          </cell>
          <cell r="M119">
            <v>14748.75</v>
          </cell>
          <cell r="N119">
            <v>1429953.68</v>
          </cell>
          <cell r="O119">
            <v>1381048.12</v>
          </cell>
          <cell r="P119">
            <v>0.9</v>
          </cell>
          <cell r="Q119">
            <v>1.1039000000000001</v>
          </cell>
          <cell r="S119">
            <v>4373</v>
          </cell>
          <cell r="T119">
            <v>195811734</v>
          </cell>
          <cell r="U119">
            <v>752901.47</v>
          </cell>
          <cell r="X119">
            <v>273</v>
          </cell>
          <cell r="Y119">
            <v>17</v>
          </cell>
          <cell r="Z119">
            <v>18</v>
          </cell>
          <cell r="AA119">
            <v>1</v>
          </cell>
          <cell r="AB119">
            <v>222</v>
          </cell>
          <cell r="AC119">
            <v>108</v>
          </cell>
          <cell r="AD119">
            <v>11</v>
          </cell>
          <cell r="AE119">
            <v>0</v>
          </cell>
          <cell r="AF119">
            <v>18</v>
          </cell>
          <cell r="AG119">
            <v>4</v>
          </cell>
          <cell r="AH119">
            <v>0</v>
          </cell>
          <cell r="AI119">
            <v>3449</v>
          </cell>
          <cell r="AJ119">
            <v>807</v>
          </cell>
          <cell r="AK119">
            <v>479</v>
          </cell>
          <cell r="AL119">
            <v>328</v>
          </cell>
          <cell r="AM119">
            <v>76</v>
          </cell>
        </row>
        <row r="120">
          <cell r="A120">
            <v>113</v>
          </cell>
          <cell r="B120" t="str">
            <v>Hackney</v>
          </cell>
          <cell r="C120" t="str">
            <v>E5013</v>
          </cell>
          <cell r="D120">
            <v>9572528.6699999999</v>
          </cell>
          <cell r="E120">
            <v>0</v>
          </cell>
          <cell r="F120">
            <v>0</v>
          </cell>
          <cell r="G120">
            <v>0</v>
          </cell>
          <cell r="H120">
            <v>1748122.31</v>
          </cell>
          <cell r="I120">
            <v>63870.6</v>
          </cell>
          <cell r="J120">
            <v>52641.65</v>
          </cell>
          <cell r="K120">
            <v>0</v>
          </cell>
          <cell r="L120">
            <v>0</v>
          </cell>
          <cell r="M120">
            <v>0</v>
          </cell>
          <cell r="N120">
            <v>1676982.08</v>
          </cell>
          <cell r="O120">
            <v>4094012.38</v>
          </cell>
          <cell r="P120">
            <v>1.1000000000000001</v>
          </cell>
          <cell r="Q120">
            <v>1.2208000000000001</v>
          </cell>
          <cell r="S120">
            <v>9777</v>
          </cell>
          <cell r="T120">
            <v>234402297</v>
          </cell>
          <cell r="U120">
            <v>1083480.23</v>
          </cell>
          <cell r="X120">
            <v>552</v>
          </cell>
          <cell r="Y120">
            <v>0</v>
          </cell>
          <cell r="Z120">
            <v>0</v>
          </cell>
          <cell r="AA120">
            <v>0</v>
          </cell>
          <cell r="AB120">
            <v>643</v>
          </cell>
          <cell r="AC120">
            <v>60</v>
          </cell>
          <cell r="AD120">
            <v>6</v>
          </cell>
          <cell r="AE120">
            <v>0</v>
          </cell>
          <cell r="AF120">
            <v>0</v>
          </cell>
          <cell r="AG120">
            <v>0</v>
          </cell>
          <cell r="AH120">
            <v>0</v>
          </cell>
          <cell r="AI120">
            <v>6519</v>
          </cell>
          <cell r="AJ120">
            <v>2499</v>
          </cell>
          <cell r="AK120">
            <v>1117</v>
          </cell>
          <cell r="AL120">
            <v>1382</v>
          </cell>
          <cell r="AM120">
            <v>568</v>
          </cell>
        </row>
        <row r="121">
          <cell r="A121">
            <v>114</v>
          </cell>
          <cell r="B121" t="str">
            <v>Halton</v>
          </cell>
          <cell r="C121" t="str">
            <v>E0601</v>
          </cell>
          <cell r="D121">
            <v>1781289.1</v>
          </cell>
          <cell r="E121">
            <v>43693.2</v>
          </cell>
          <cell r="F121">
            <v>1465.6</v>
          </cell>
          <cell r="G121">
            <v>250000</v>
          </cell>
          <cell r="H121">
            <v>1111681.02</v>
          </cell>
          <cell r="I121">
            <v>13862.17</v>
          </cell>
          <cell r="J121">
            <v>210241.28</v>
          </cell>
          <cell r="K121">
            <v>652.65</v>
          </cell>
          <cell r="L121">
            <v>0</v>
          </cell>
          <cell r="M121">
            <v>0</v>
          </cell>
          <cell r="N121">
            <v>937497.98</v>
          </cell>
          <cell r="O121">
            <v>1408359.67</v>
          </cell>
          <cell r="P121">
            <v>1.3</v>
          </cell>
          <cell r="Q121">
            <v>1.0129999999999999</v>
          </cell>
          <cell r="S121">
            <v>3533</v>
          </cell>
          <cell r="T121">
            <v>128644236</v>
          </cell>
          <cell r="U121">
            <v>552094.35</v>
          </cell>
          <cell r="X121">
            <v>122</v>
          </cell>
          <cell r="Y121">
            <v>4</v>
          </cell>
          <cell r="Z121">
            <v>2</v>
          </cell>
          <cell r="AA121">
            <v>3</v>
          </cell>
          <cell r="AB121">
            <v>711</v>
          </cell>
          <cell r="AC121">
            <v>53</v>
          </cell>
          <cell r="AD121">
            <v>27</v>
          </cell>
          <cell r="AE121">
            <v>2</v>
          </cell>
          <cell r="AF121">
            <v>0</v>
          </cell>
          <cell r="AG121">
            <v>0</v>
          </cell>
          <cell r="AH121">
            <v>0</v>
          </cell>
          <cell r="AI121">
            <v>2597</v>
          </cell>
          <cell r="AJ121">
            <v>838</v>
          </cell>
          <cell r="AK121">
            <v>631</v>
          </cell>
          <cell r="AL121">
            <v>207</v>
          </cell>
          <cell r="AM121">
            <v>79</v>
          </cell>
        </row>
        <row r="122">
          <cell r="A122">
            <v>115</v>
          </cell>
          <cell r="B122" t="str">
            <v>Hambleton</v>
          </cell>
          <cell r="C122" t="str">
            <v>E2732</v>
          </cell>
          <cell r="D122">
            <v>698758.94</v>
          </cell>
          <cell r="E122">
            <v>91828.65</v>
          </cell>
          <cell r="F122">
            <v>61316.04</v>
          </cell>
          <cell r="G122">
            <v>0</v>
          </cell>
          <cell r="H122">
            <v>523373.61</v>
          </cell>
          <cell r="I122">
            <v>16347.85</v>
          </cell>
          <cell r="J122">
            <v>16997.79</v>
          </cell>
          <cell r="K122">
            <v>309.29500000000002</v>
          </cell>
          <cell r="L122">
            <v>11650.635</v>
          </cell>
          <cell r="M122">
            <v>260.61750000000001</v>
          </cell>
          <cell r="N122">
            <v>407571.66</v>
          </cell>
          <cell r="O122">
            <v>1977487.54</v>
          </cell>
          <cell r="P122">
            <v>0.9</v>
          </cell>
          <cell r="Q122">
            <v>1</v>
          </cell>
          <cell r="S122">
            <v>3831</v>
          </cell>
          <cell r="T122">
            <v>66313744</v>
          </cell>
          <cell r="U122">
            <v>253048.47</v>
          </cell>
          <cell r="X122">
            <v>228</v>
          </cell>
          <cell r="Y122">
            <v>26</v>
          </cell>
          <cell r="Z122">
            <v>64</v>
          </cell>
          <cell r="AA122">
            <v>0</v>
          </cell>
          <cell r="AB122">
            <v>336</v>
          </cell>
          <cell r="AC122">
            <v>143</v>
          </cell>
          <cell r="AD122">
            <v>9</v>
          </cell>
          <cell r="AE122">
            <v>20</v>
          </cell>
          <cell r="AF122">
            <v>27</v>
          </cell>
          <cell r="AG122">
            <v>1</v>
          </cell>
          <cell r="AH122">
            <v>0</v>
          </cell>
          <cell r="AI122">
            <v>2511</v>
          </cell>
          <cell r="AJ122">
            <v>1232</v>
          </cell>
          <cell r="AK122">
            <v>865</v>
          </cell>
          <cell r="AL122">
            <v>367</v>
          </cell>
          <cell r="AM122">
            <v>55</v>
          </cell>
        </row>
        <row r="123">
          <cell r="A123">
            <v>116</v>
          </cell>
          <cell r="B123" t="str">
            <v>Hammersmith and Fulham</v>
          </cell>
          <cell r="C123" t="str">
            <v>E5014</v>
          </cell>
          <cell r="D123">
            <v>7810552.6399999997</v>
          </cell>
          <cell r="E123">
            <v>0</v>
          </cell>
          <cell r="F123">
            <v>0</v>
          </cell>
          <cell r="G123">
            <v>0</v>
          </cell>
          <cell r="H123">
            <v>8661901</v>
          </cell>
          <cell r="I123">
            <v>11371.49</v>
          </cell>
          <cell r="J123">
            <v>60603.3</v>
          </cell>
          <cell r="K123">
            <v>0</v>
          </cell>
          <cell r="L123">
            <v>0</v>
          </cell>
          <cell r="M123">
            <v>0</v>
          </cell>
          <cell r="N123">
            <v>3370560.37</v>
          </cell>
          <cell r="O123">
            <v>1486487.95</v>
          </cell>
          <cell r="P123">
            <v>1.1000000000000001</v>
          </cell>
          <cell r="Q123">
            <v>1.2208000000000001</v>
          </cell>
          <cell r="S123">
            <v>9263</v>
          </cell>
          <cell r="T123">
            <v>456456221</v>
          </cell>
          <cell r="U123">
            <v>2412047.12</v>
          </cell>
          <cell r="X123">
            <v>291</v>
          </cell>
          <cell r="Y123">
            <v>0</v>
          </cell>
          <cell r="Z123">
            <v>0</v>
          </cell>
          <cell r="AA123">
            <v>0</v>
          </cell>
          <cell r="AB123">
            <v>1260</v>
          </cell>
          <cell r="AC123">
            <v>40</v>
          </cell>
          <cell r="AD123">
            <v>23</v>
          </cell>
          <cell r="AE123">
            <v>0</v>
          </cell>
          <cell r="AF123">
            <v>0</v>
          </cell>
          <cell r="AG123">
            <v>0</v>
          </cell>
          <cell r="AH123">
            <v>0</v>
          </cell>
          <cell r="AI123">
            <v>3992</v>
          </cell>
          <cell r="AJ123">
            <v>863</v>
          </cell>
          <cell r="AK123">
            <v>350</v>
          </cell>
          <cell r="AL123">
            <v>513</v>
          </cell>
          <cell r="AM123">
            <v>4254</v>
          </cell>
        </row>
        <row r="124">
          <cell r="A124">
            <v>117</v>
          </cell>
          <cell r="B124" t="str">
            <v>Harborough</v>
          </cell>
          <cell r="C124" t="str">
            <v>E2433</v>
          </cell>
          <cell r="D124">
            <v>1035688.26</v>
          </cell>
          <cell r="E124">
            <v>38085.71</v>
          </cell>
          <cell r="F124">
            <v>29822.36</v>
          </cell>
          <cell r="G124">
            <v>0</v>
          </cell>
          <cell r="H124">
            <v>964384.74</v>
          </cell>
          <cell r="I124">
            <v>5180.6099999999997</v>
          </cell>
          <cell r="J124">
            <v>24310.17</v>
          </cell>
          <cell r="K124">
            <v>2380.36</v>
          </cell>
          <cell r="L124">
            <v>22366.77</v>
          </cell>
          <cell r="M124">
            <v>0</v>
          </cell>
          <cell r="N124">
            <v>593408.39</v>
          </cell>
          <cell r="O124">
            <v>1340523.8</v>
          </cell>
          <cell r="P124">
            <v>0.9</v>
          </cell>
          <cell r="Q124">
            <v>1</v>
          </cell>
          <cell r="R124" t="str">
            <v>y</v>
          </cell>
          <cell r="S124">
            <v>2741</v>
          </cell>
          <cell r="T124">
            <v>86902162</v>
          </cell>
          <cell r="U124">
            <v>329078.95</v>
          </cell>
          <cell r="X124">
            <v>141</v>
          </cell>
          <cell r="Y124">
            <v>13</v>
          </cell>
          <cell r="Z124">
            <v>28</v>
          </cell>
          <cell r="AA124">
            <v>0</v>
          </cell>
          <cell r="AB124">
            <v>210</v>
          </cell>
          <cell r="AC124">
            <v>76</v>
          </cell>
          <cell r="AD124">
            <v>28</v>
          </cell>
          <cell r="AE124">
            <v>13</v>
          </cell>
          <cell r="AF124">
            <v>28</v>
          </cell>
          <cell r="AG124">
            <v>0</v>
          </cell>
          <cell r="AH124">
            <v>0</v>
          </cell>
          <cell r="AI124">
            <v>1843</v>
          </cell>
          <cell r="AJ124">
            <v>796</v>
          </cell>
          <cell r="AK124">
            <v>538</v>
          </cell>
          <cell r="AL124">
            <v>258</v>
          </cell>
          <cell r="AM124">
            <v>88</v>
          </cell>
        </row>
        <row r="125">
          <cell r="A125">
            <v>118</v>
          </cell>
          <cell r="B125" t="str">
            <v>Haringey</v>
          </cell>
          <cell r="C125" t="str">
            <v>E5038</v>
          </cell>
          <cell r="D125">
            <v>3384989.64</v>
          </cell>
          <cell r="E125">
            <v>22515.279999999999</v>
          </cell>
          <cell r="F125">
            <v>0</v>
          </cell>
          <cell r="G125">
            <v>23497.32</v>
          </cell>
          <cell r="H125">
            <v>1839419.84</v>
          </cell>
          <cell r="I125">
            <v>105161.99</v>
          </cell>
          <cell r="J125">
            <v>113504.8</v>
          </cell>
          <cell r="K125">
            <v>0</v>
          </cell>
          <cell r="L125">
            <v>0</v>
          </cell>
          <cell r="M125">
            <v>0</v>
          </cell>
          <cell r="N125">
            <v>976742.64</v>
          </cell>
          <cell r="O125">
            <v>3279250.62</v>
          </cell>
          <cell r="P125">
            <v>1.5</v>
          </cell>
          <cell r="Q125">
            <v>1.0760000000000001</v>
          </cell>
          <cell r="S125">
            <v>6732</v>
          </cell>
          <cell r="T125">
            <v>165727278</v>
          </cell>
          <cell r="U125">
            <v>937400.13</v>
          </cell>
          <cell r="X125">
            <v>300</v>
          </cell>
          <cell r="Y125">
            <v>7</v>
          </cell>
          <cell r="Z125">
            <v>0</v>
          </cell>
          <cell r="AA125">
            <v>5</v>
          </cell>
          <cell r="AB125">
            <v>597</v>
          </cell>
          <cell r="AC125">
            <v>134</v>
          </cell>
          <cell r="AD125">
            <v>38</v>
          </cell>
          <cell r="AE125">
            <v>0</v>
          </cell>
          <cell r="AF125">
            <v>0</v>
          </cell>
          <cell r="AG125">
            <v>0</v>
          </cell>
          <cell r="AH125">
            <v>0</v>
          </cell>
          <cell r="AI125">
            <v>2111</v>
          </cell>
          <cell r="AJ125">
            <v>1830</v>
          </cell>
          <cell r="AK125">
            <v>763</v>
          </cell>
          <cell r="AL125">
            <v>1067</v>
          </cell>
          <cell r="AM125">
            <v>2827</v>
          </cell>
        </row>
        <row r="126">
          <cell r="A126">
            <v>119</v>
          </cell>
          <cell r="B126" t="str">
            <v>Harlow</v>
          </cell>
          <cell r="C126" t="str">
            <v>E1538</v>
          </cell>
          <cell r="D126">
            <v>2038375.92</v>
          </cell>
          <cell r="E126">
            <v>65494</v>
          </cell>
          <cell r="F126">
            <v>0</v>
          </cell>
          <cell r="G126">
            <v>0</v>
          </cell>
          <cell r="H126">
            <v>1961434.47</v>
          </cell>
          <cell r="I126">
            <v>7499.19</v>
          </cell>
          <cell r="J126">
            <v>2497.5</v>
          </cell>
          <cell r="K126">
            <v>0</v>
          </cell>
          <cell r="L126">
            <v>0</v>
          </cell>
          <cell r="M126">
            <v>0</v>
          </cell>
          <cell r="N126">
            <v>842404.6</v>
          </cell>
          <cell r="O126">
            <v>700740.18</v>
          </cell>
          <cell r="P126">
            <v>0.9</v>
          </cell>
          <cell r="Q126">
            <v>1.0618000000000001</v>
          </cell>
          <cell r="S126">
            <v>2320</v>
          </cell>
          <cell r="T126">
            <v>112444723</v>
          </cell>
          <cell r="U126">
            <v>453292.42</v>
          </cell>
          <cell r="X126">
            <v>136</v>
          </cell>
          <cell r="Y126">
            <v>7</v>
          </cell>
          <cell r="Z126">
            <v>0</v>
          </cell>
          <cell r="AA126">
            <v>0</v>
          </cell>
          <cell r="AB126">
            <v>125</v>
          </cell>
          <cell r="AC126">
            <v>25</v>
          </cell>
          <cell r="AD126">
            <v>1</v>
          </cell>
          <cell r="AE126">
            <v>0</v>
          </cell>
          <cell r="AF126">
            <v>0</v>
          </cell>
          <cell r="AG126">
            <v>0</v>
          </cell>
          <cell r="AH126">
            <v>0</v>
          </cell>
          <cell r="AI126">
            <v>1861</v>
          </cell>
          <cell r="AJ126">
            <v>403</v>
          </cell>
          <cell r="AK126">
            <v>216</v>
          </cell>
          <cell r="AL126">
            <v>187</v>
          </cell>
          <cell r="AM126">
            <v>58</v>
          </cell>
        </row>
        <row r="127">
          <cell r="A127">
            <v>120</v>
          </cell>
          <cell r="B127" t="str">
            <v>Harrogate</v>
          </cell>
          <cell r="C127" t="str">
            <v>E2753</v>
          </cell>
          <cell r="D127">
            <v>2415917.81</v>
          </cell>
          <cell r="E127">
            <v>109615.89</v>
          </cell>
          <cell r="F127">
            <v>61663.11</v>
          </cell>
          <cell r="G127">
            <v>0</v>
          </cell>
          <cell r="H127">
            <v>1907430.74</v>
          </cell>
          <cell r="I127">
            <v>7521.08</v>
          </cell>
          <cell r="J127">
            <v>82102.17</v>
          </cell>
          <cell r="K127">
            <v>22.62</v>
          </cell>
          <cell r="L127">
            <v>11921.34</v>
          </cell>
          <cell r="M127">
            <v>38417.230000000003</v>
          </cell>
          <cell r="N127">
            <v>1089165.2</v>
          </cell>
          <cell r="O127">
            <v>3676572.19</v>
          </cell>
          <cell r="P127">
            <v>0.9</v>
          </cell>
          <cell r="Q127">
            <v>1</v>
          </cell>
          <cell r="S127">
            <v>6798</v>
          </cell>
          <cell r="T127">
            <v>150466015</v>
          </cell>
          <cell r="U127">
            <v>570467.91</v>
          </cell>
          <cell r="X127">
            <v>264</v>
          </cell>
          <cell r="Y127">
            <v>26</v>
          </cell>
          <cell r="Z127">
            <v>58</v>
          </cell>
          <cell r="AA127">
            <v>0</v>
          </cell>
          <cell r="AB127">
            <v>820</v>
          </cell>
          <cell r="AC127">
            <v>31</v>
          </cell>
          <cell r="AD127">
            <v>87</v>
          </cell>
          <cell r="AE127">
            <v>1</v>
          </cell>
          <cell r="AF127">
            <v>47</v>
          </cell>
          <cell r="AG127">
            <v>34</v>
          </cell>
          <cell r="AH127">
            <v>0</v>
          </cell>
          <cell r="AI127">
            <v>4328</v>
          </cell>
          <cell r="AJ127">
            <v>2178</v>
          </cell>
          <cell r="AK127">
            <v>1433</v>
          </cell>
          <cell r="AL127">
            <v>745</v>
          </cell>
          <cell r="AM127">
            <v>213</v>
          </cell>
        </row>
        <row r="128">
          <cell r="A128">
            <v>121</v>
          </cell>
          <cell r="B128" t="str">
            <v>Harrow</v>
          </cell>
          <cell r="C128" t="str">
            <v>E5039</v>
          </cell>
          <cell r="D128">
            <v>3882317</v>
          </cell>
          <cell r="E128">
            <v>148294</v>
          </cell>
          <cell r="F128">
            <v>0</v>
          </cell>
          <cell r="G128">
            <v>296266</v>
          </cell>
          <cell r="H128">
            <v>2300000</v>
          </cell>
          <cell r="I128">
            <v>33980</v>
          </cell>
          <cell r="J128">
            <v>83059</v>
          </cell>
          <cell r="K128">
            <v>1582</v>
          </cell>
          <cell r="L128">
            <v>0</v>
          </cell>
          <cell r="M128">
            <v>0</v>
          </cell>
          <cell r="N128">
            <v>780306</v>
          </cell>
          <cell r="O128">
            <v>2312639</v>
          </cell>
          <cell r="P128">
            <v>1.5</v>
          </cell>
          <cell r="Q128">
            <v>1.1113</v>
          </cell>
          <cell r="S128">
            <v>5426</v>
          </cell>
          <cell r="T128">
            <v>128486354</v>
          </cell>
          <cell r="U128">
            <v>699620.09</v>
          </cell>
          <cell r="X128">
            <v>211</v>
          </cell>
          <cell r="Y128">
            <v>6</v>
          </cell>
          <cell r="Z128">
            <v>0</v>
          </cell>
          <cell r="AA128">
            <v>0</v>
          </cell>
          <cell r="AB128">
            <v>446</v>
          </cell>
          <cell r="AC128">
            <v>76</v>
          </cell>
          <cell r="AD128">
            <v>32</v>
          </cell>
          <cell r="AE128">
            <v>1</v>
          </cell>
          <cell r="AF128">
            <v>0</v>
          </cell>
          <cell r="AG128">
            <v>0</v>
          </cell>
          <cell r="AH128">
            <v>0</v>
          </cell>
          <cell r="AI128">
            <v>3154</v>
          </cell>
          <cell r="AJ128">
            <v>1946</v>
          </cell>
          <cell r="AK128">
            <v>750</v>
          </cell>
          <cell r="AL128">
            <v>1196</v>
          </cell>
          <cell r="AM128">
            <v>250</v>
          </cell>
        </row>
        <row r="129">
          <cell r="A129">
            <v>122</v>
          </cell>
          <cell r="B129" t="str">
            <v>Hart</v>
          </cell>
          <cell r="C129" t="str">
            <v>E1736</v>
          </cell>
          <cell r="D129">
            <v>630622.63</v>
          </cell>
          <cell r="E129">
            <v>32701.200000000001</v>
          </cell>
          <cell r="F129">
            <v>2667.85</v>
          </cell>
          <cell r="G129">
            <v>0</v>
          </cell>
          <cell r="H129">
            <v>1134426</v>
          </cell>
          <cell r="I129">
            <v>12656.61</v>
          </cell>
          <cell r="J129">
            <v>16960.79</v>
          </cell>
          <cell r="K129">
            <v>0</v>
          </cell>
          <cell r="L129">
            <v>2000.89</v>
          </cell>
          <cell r="M129">
            <v>0</v>
          </cell>
          <cell r="N129">
            <v>487442.28</v>
          </cell>
          <cell r="O129">
            <v>845198.13</v>
          </cell>
          <cell r="P129">
            <v>0.9</v>
          </cell>
          <cell r="Q129">
            <v>1.036</v>
          </cell>
          <cell r="S129">
            <v>2118</v>
          </cell>
          <cell r="T129">
            <v>71067560</v>
          </cell>
          <cell r="U129">
            <v>282442.28000000003</v>
          </cell>
          <cell r="X129">
            <v>97</v>
          </cell>
          <cell r="Y129">
            <v>3</v>
          </cell>
          <cell r="Z129">
            <v>2</v>
          </cell>
          <cell r="AA129">
            <v>0</v>
          </cell>
          <cell r="AB129">
            <v>116</v>
          </cell>
          <cell r="AC129">
            <v>75</v>
          </cell>
          <cell r="AD129">
            <v>10</v>
          </cell>
          <cell r="AE129">
            <v>0</v>
          </cell>
          <cell r="AF129">
            <v>2</v>
          </cell>
          <cell r="AG129">
            <v>0</v>
          </cell>
          <cell r="AH129">
            <v>0</v>
          </cell>
          <cell r="AI129">
            <v>1470</v>
          </cell>
          <cell r="AJ129">
            <v>499</v>
          </cell>
          <cell r="AK129">
            <v>253</v>
          </cell>
          <cell r="AL129">
            <v>246</v>
          </cell>
          <cell r="AM129">
            <v>113</v>
          </cell>
        </row>
        <row r="130">
          <cell r="A130">
            <v>123</v>
          </cell>
          <cell r="B130" t="str">
            <v>Hartlepool</v>
          </cell>
          <cell r="C130" t="str">
            <v>E0701</v>
          </cell>
          <cell r="D130">
            <v>1336133.1499999999</v>
          </cell>
          <cell r="E130">
            <v>38810.92</v>
          </cell>
          <cell r="F130">
            <v>0</v>
          </cell>
          <cell r="G130">
            <v>18827.04</v>
          </cell>
          <cell r="H130">
            <v>1152521.67</v>
          </cell>
          <cell r="I130">
            <v>42158.02</v>
          </cell>
          <cell r="J130">
            <v>48357.8</v>
          </cell>
          <cell r="K130">
            <v>435.1</v>
          </cell>
          <cell r="L130">
            <v>0</v>
          </cell>
          <cell r="M130">
            <v>407.91</v>
          </cell>
          <cell r="N130">
            <v>702245.08</v>
          </cell>
          <cell r="O130">
            <v>1537649.55</v>
          </cell>
          <cell r="P130">
            <v>1.3</v>
          </cell>
          <cell r="Q130">
            <v>1</v>
          </cell>
          <cell r="S130">
            <v>2692</v>
          </cell>
          <cell r="T130">
            <v>96551229</v>
          </cell>
          <cell r="U130">
            <v>306220.84000000003</v>
          </cell>
          <cell r="X130">
            <v>127</v>
          </cell>
          <cell r="Y130">
            <v>8</v>
          </cell>
          <cell r="Z130">
            <v>0</v>
          </cell>
          <cell r="AA130">
            <v>6</v>
          </cell>
          <cell r="AB130">
            <v>249</v>
          </cell>
          <cell r="AC130">
            <v>90</v>
          </cell>
          <cell r="AD130">
            <v>17</v>
          </cell>
          <cell r="AE130">
            <v>2</v>
          </cell>
          <cell r="AF130">
            <v>0</v>
          </cell>
          <cell r="AG130">
            <v>1</v>
          </cell>
          <cell r="AH130">
            <v>2</v>
          </cell>
          <cell r="AI130">
            <v>1594</v>
          </cell>
          <cell r="AJ130">
            <v>963</v>
          </cell>
          <cell r="AK130">
            <v>727</v>
          </cell>
          <cell r="AL130">
            <v>236</v>
          </cell>
          <cell r="AM130">
            <v>672</v>
          </cell>
        </row>
        <row r="131">
          <cell r="A131">
            <v>124</v>
          </cell>
          <cell r="B131" t="str">
            <v>Hastings</v>
          </cell>
          <cell r="C131" t="str">
            <v>E1433</v>
          </cell>
          <cell r="D131">
            <v>1464053.91</v>
          </cell>
          <cell r="E131">
            <v>42158.9</v>
          </cell>
          <cell r="F131">
            <v>0</v>
          </cell>
          <cell r="G131">
            <v>0</v>
          </cell>
          <cell r="H131">
            <v>508323.09</v>
          </cell>
          <cell r="I131">
            <v>42000</v>
          </cell>
          <cell r="J131">
            <v>52500</v>
          </cell>
          <cell r="K131">
            <v>8431.7800000000007</v>
          </cell>
          <cell r="L131">
            <v>0</v>
          </cell>
          <cell r="M131">
            <v>0</v>
          </cell>
          <cell r="N131">
            <v>370261.22</v>
          </cell>
          <cell r="O131">
            <v>1800202.31</v>
          </cell>
          <cell r="P131">
            <v>0.9</v>
          </cell>
          <cell r="Q131">
            <v>1.0089999999999999</v>
          </cell>
          <cell r="S131">
            <v>2978</v>
          </cell>
          <cell r="T131">
            <v>57950011</v>
          </cell>
          <cell r="U131">
            <v>210736.18</v>
          </cell>
          <cell r="X131">
            <v>162</v>
          </cell>
          <cell r="Y131">
            <v>8</v>
          </cell>
          <cell r="Z131">
            <v>0</v>
          </cell>
          <cell r="AA131">
            <v>0</v>
          </cell>
          <cell r="AB131">
            <v>258</v>
          </cell>
          <cell r="AC131">
            <v>111</v>
          </cell>
          <cell r="AD131">
            <v>20</v>
          </cell>
          <cell r="AE131">
            <v>8</v>
          </cell>
          <cell r="AF131">
            <v>0</v>
          </cell>
          <cell r="AG131">
            <v>0</v>
          </cell>
          <cell r="AH131">
            <v>0</v>
          </cell>
          <cell r="AI131">
            <v>1906</v>
          </cell>
          <cell r="AJ131">
            <v>1006</v>
          </cell>
          <cell r="AK131">
            <v>724</v>
          </cell>
          <cell r="AL131">
            <v>282</v>
          </cell>
          <cell r="AM131">
            <v>55</v>
          </cell>
        </row>
        <row r="132">
          <cell r="A132">
            <v>125</v>
          </cell>
          <cell r="B132" t="str">
            <v>Havant</v>
          </cell>
          <cell r="C132" t="str">
            <v>E1737</v>
          </cell>
          <cell r="D132">
            <v>1631246.79</v>
          </cell>
          <cell r="E132">
            <v>650.36</v>
          </cell>
          <cell r="F132">
            <v>1798.96</v>
          </cell>
          <cell r="G132">
            <v>0</v>
          </cell>
          <cell r="H132">
            <v>1204358.3899999999</v>
          </cell>
          <cell r="I132">
            <v>21993.72</v>
          </cell>
          <cell r="J132">
            <v>63734.42</v>
          </cell>
          <cell r="K132">
            <v>0</v>
          </cell>
          <cell r="L132">
            <v>1349.22</v>
          </cell>
          <cell r="M132">
            <v>0</v>
          </cell>
          <cell r="N132">
            <v>552249.41</v>
          </cell>
          <cell r="O132">
            <v>1598666.27</v>
          </cell>
          <cell r="P132">
            <v>0.9</v>
          </cell>
          <cell r="Q132">
            <v>1.036</v>
          </cell>
          <cell r="S132">
            <v>3172</v>
          </cell>
          <cell r="T132">
            <v>79873436</v>
          </cell>
          <cell r="U132">
            <v>301627.44</v>
          </cell>
          <cell r="X132">
            <v>134</v>
          </cell>
          <cell r="Y132">
            <v>1</v>
          </cell>
          <cell r="Z132">
            <v>2</v>
          </cell>
          <cell r="AA132">
            <v>0</v>
          </cell>
          <cell r="AB132">
            <v>311</v>
          </cell>
          <cell r="AC132">
            <v>42</v>
          </cell>
          <cell r="AD132">
            <v>19</v>
          </cell>
          <cell r="AE132">
            <v>0</v>
          </cell>
          <cell r="AF132">
            <v>2</v>
          </cell>
          <cell r="AG132">
            <v>0</v>
          </cell>
          <cell r="AH132">
            <v>0</v>
          </cell>
          <cell r="AI132">
            <v>1850</v>
          </cell>
          <cell r="AJ132">
            <v>1189</v>
          </cell>
          <cell r="AK132">
            <v>803</v>
          </cell>
          <cell r="AL132">
            <v>386</v>
          </cell>
          <cell r="AM132">
            <v>95</v>
          </cell>
        </row>
        <row r="133">
          <cell r="A133">
            <v>126</v>
          </cell>
          <cell r="B133" t="str">
            <v>Havering</v>
          </cell>
          <cell r="C133" t="str">
            <v>E5040</v>
          </cell>
          <cell r="D133">
            <v>2777001.58</v>
          </cell>
          <cell r="E133">
            <v>307299.68</v>
          </cell>
          <cell r="F133">
            <v>0</v>
          </cell>
          <cell r="G133">
            <v>4855.24</v>
          </cell>
          <cell r="H133">
            <v>2395849.59</v>
          </cell>
          <cell r="I133">
            <v>75821.8</v>
          </cell>
          <cell r="J133">
            <v>6410.78</v>
          </cell>
          <cell r="K133">
            <v>0</v>
          </cell>
          <cell r="L133">
            <v>0</v>
          </cell>
          <cell r="M133">
            <v>0</v>
          </cell>
          <cell r="N133">
            <v>1209755.3400000001</v>
          </cell>
          <cell r="O133">
            <v>2697277.05</v>
          </cell>
          <cell r="P133">
            <v>1.5</v>
          </cell>
          <cell r="Q133">
            <v>1.0760000000000001</v>
          </cell>
          <cell r="S133">
            <v>5622</v>
          </cell>
          <cell r="T133">
            <v>183761202</v>
          </cell>
          <cell r="U133">
            <v>1072395.52</v>
          </cell>
          <cell r="X133">
            <v>191</v>
          </cell>
          <cell r="Y133">
            <v>17</v>
          </cell>
          <cell r="Z133">
            <v>0</v>
          </cell>
          <cell r="AA133">
            <v>0</v>
          </cell>
          <cell r="AB133">
            <v>601</v>
          </cell>
          <cell r="AC133">
            <v>82</v>
          </cell>
          <cell r="AD133">
            <v>8</v>
          </cell>
          <cell r="AE133">
            <v>9</v>
          </cell>
          <cell r="AF133">
            <v>0</v>
          </cell>
          <cell r="AG133">
            <v>0</v>
          </cell>
          <cell r="AH133">
            <v>0</v>
          </cell>
          <cell r="AI133">
            <v>3851</v>
          </cell>
          <cell r="AJ133">
            <v>1357</v>
          </cell>
          <cell r="AK133">
            <v>622</v>
          </cell>
          <cell r="AL133">
            <v>735</v>
          </cell>
          <cell r="AM133">
            <v>356</v>
          </cell>
        </row>
        <row r="134">
          <cell r="A134">
            <v>127</v>
          </cell>
          <cell r="B134" t="str">
            <v>Herefordshire</v>
          </cell>
          <cell r="C134" t="str">
            <v>E1801</v>
          </cell>
          <cell r="D134">
            <v>3548117.84</v>
          </cell>
          <cell r="E134">
            <v>74647.710000000006</v>
          </cell>
          <cell r="F134">
            <v>90668.42</v>
          </cell>
          <cell r="G134">
            <v>0</v>
          </cell>
          <cell r="H134">
            <v>1234907.0900000001</v>
          </cell>
          <cell r="I134">
            <v>112833.15</v>
          </cell>
          <cell r="J134">
            <v>89013.53</v>
          </cell>
          <cell r="K134">
            <v>3392.24</v>
          </cell>
          <cell r="L134">
            <v>43932.52</v>
          </cell>
          <cell r="M134">
            <v>0</v>
          </cell>
          <cell r="N134">
            <v>771579.95</v>
          </cell>
          <cell r="O134">
            <v>4051848.26</v>
          </cell>
          <cell r="P134">
            <v>1.3</v>
          </cell>
          <cell r="Q134">
            <v>1</v>
          </cell>
          <cell r="S134">
            <v>7462</v>
          </cell>
          <cell r="T134">
            <v>124193411</v>
          </cell>
          <cell r="U134">
            <v>488875.7</v>
          </cell>
          <cell r="X134">
            <v>549</v>
          </cell>
          <cell r="Y134">
            <v>22</v>
          </cell>
          <cell r="Z134">
            <v>90</v>
          </cell>
          <cell r="AA134">
            <v>0</v>
          </cell>
          <cell r="AB134">
            <v>759</v>
          </cell>
          <cell r="AC134">
            <v>511</v>
          </cell>
          <cell r="AD134">
            <v>67</v>
          </cell>
          <cell r="AE134">
            <v>19</v>
          </cell>
          <cell r="AF134">
            <v>86</v>
          </cell>
          <cell r="AG134">
            <v>0</v>
          </cell>
          <cell r="AH134">
            <v>0</v>
          </cell>
          <cell r="AI134">
            <v>4544</v>
          </cell>
          <cell r="AJ134">
            <v>2725</v>
          </cell>
          <cell r="AK134">
            <v>2020</v>
          </cell>
          <cell r="AL134">
            <v>705</v>
          </cell>
          <cell r="AM134">
            <v>123</v>
          </cell>
        </row>
        <row r="135">
          <cell r="A135">
            <v>128</v>
          </cell>
          <cell r="B135" t="str">
            <v>Hertsmere</v>
          </cell>
          <cell r="C135" t="str">
            <v>E1934</v>
          </cell>
          <cell r="D135">
            <v>3646091.92</v>
          </cell>
          <cell r="E135">
            <v>53860.800000000003</v>
          </cell>
          <cell r="F135">
            <v>0</v>
          </cell>
          <cell r="G135">
            <v>7840.8</v>
          </cell>
          <cell r="H135">
            <v>1407458.97</v>
          </cell>
          <cell r="I135">
            <v>22265.3</v>
          </cell>
          <cell r="J135">
            <v>38317.03</v>
          </cell>
          <cell r="K135">
            <v>0</v>
          </cell>
          <cell r="L135">
            <v>0</v>
          </cell>
          <cell r="M135">
            <v>0</v>
          </cell>
          <cell r="N135">
            <v>819323.57</v>
          </cell>
          <cell r="O135">
            <v>1109659.81</v>
          </cell>
          <cell r="P135">
            <v>0.9</v>
          </cell>
          <cell r="Q135">
            <v>1.0815999999999999</v>
          </cell>
          <cell r="S135">
            <v>2815</v>
          </cell>
          <cell r="T135">
            <v>115606927</v>
          </cell>
          <cell r="U135">
            <v>448054.53</v>
          </cell>
          <cell r="X135">
            <v>138</v>
          </cell>
          <cell r="Y135">
            <v>3</v>
          </cell>
          <cell r="Z135">
            <v>0</v>
          </cell>
          <cell r="AA135">
            <v>1</v>
          </cell>
          <cell r="AB135">
            <v>143</v>
          </cell>
          <cell r="AC135">
            <v>66</v>
          </cell>
          <cell r="AD135">
            <v>26</v>
          </cell>
          <cell r="AE135">
            <v>0</v>
          </cell>
          <cell r="AF135">
            <v>0</v>
          </cell>
          <cell r="AG135">
            <v>0</v>
          </cell>
          <cell r="AH135">
            <v>0</v>
          </cell>
          <cell r="AI135">
            <v>2096</v>
          </cell>
          <cell r="AJ135">
            <v>614</v>
          </cell>
          <cell r="AK135">
            <v>287</v>
          </cell>
          <cell r="AL135">
            <v>327</v>
          </cell>
          <cell r="AM135">
            <v>80</v>
          </cell>
        </row>
        <row r="136">
          <cell r="A136">
            <v>129</v>
          </cell>
          <cell r="B136" t="str">
            <v>High Peak</v>
          </cell>
          <cell r="C136" t="str">
            <v>E1037</v>
          </cell>
          <cell r="D136">
            <v>711589.49</v>
          </cell>
          <cell r="E136">
            <v>66278.039999999994</v>
          </cell>
          <cell r="F136">
            <v>15268.6</v>
          </cell>
          <cell r="G136">
            <v>0</v>
          </cell>
          <cell r="H136">
            <v>482010.04</v>
          </cell>
          <cell r="I136">
            <v>3551</v>
          </cell>
          <cell r="J136">
            <v>84022</v>
          </cell>
          <cell r="K136">
            <v>0</v>
          </cell>
          <cell r="L136">
            <v>4035</v>
          </cell>
          <cell r="M136">
            <v>0</v>
          </cell>
          <cell r="N136">
            <v>383354.92</v>
          </cell>
          <cell r="O136">
            <v>2027501.94</v>
          </cell>
          <cell r="P136">
            <v>0.9</v>
          </cell>
          <cell r="Q136">
            <v>1</v>
          </cell>
          <cell r="S136">
            <v>3346</v>
          </cell>
          <cell r="T136">
            <v>60031259</v>
          </cell>
          <cell r="U136">
            <v>227142.28</v>
          </cell>
          <cell r="X136">
            <v>153</v>
          </cell>
          <cell r="Y136">
            <v>20</v>
          </cell>
          <cell r="Z136">
            <v>19</v>
          </cell>
          <cell r="AA136">
            <v>0</v>
          </cell>
          <cell r="AB136">
            <v>477</v>
          </cell>
          <cell r="AC136">
            <v>22</v>
          </cell>
          <cell r="AD136">
            <v>14</v>
          </cell>
          <cell r="AE136">
            <v>0</v>
          </cell>
          <cell r="AF136">
            <v>4</v>
          </cell>
          <cell r="AG136">
            <v>0</v>
          </cell>
          <cell r="AH136">
            <v>0</v>
          </cell>
          <cell r="AI136">
            <v>1103</v>
          </cell>
          <cell r="AJ136">
            <v>1301</v>
          </cell>
          <cell r="AK136">
            <v>1002</v>
          </cell>
          <cell r="AL136">
            <v>299</v>
          </cell>
          <cell r="AM136">
            <v>919</v>
          </cell>
        </row>
        <row r="137">
          <cell r="A137">
            <v>130</v>
          </cell>
          <cell r="B137" t="str">
            <v>Hillingdon</v>
          </cell>
          <cell r="C137" t="str">
            <v>E5041</v>
          </cell>
          <cell r="D137">
            <v>7134640.5199999996</v>
          </cell>
          <cell r="E137">
            <v>24966</v>
          </cell>
          <cell r="F137">
            <v>0</v>
          </cell>
          <cell r="G137">
            <v>162337.62</v>
          </cell>
          <cell r="H137">
            <v>13987960.699999999</v>
          </cell>
          <cell r="I137">
            <v>54462.15</v>
          </cell>
          <cell r="J137">
            <v>105598.07</v>
          </cell>
          <cell r="K137">
            <v>57.16</v>
          </cell>
          <cell r="L137">
            <v>0</v>
          </cell>
          <cell r="M137">
            <v>0</v>
          </cell>
          <cell r="N137">
            <v>5953426.5800000001</v>
          </cell>
          <cell r="O137">
            <v>2368708.4300000002</v>
          </cell>
          <cell r="P137">
            <v>1.5</v>
          </cell>
          <cell r="Q137">
            <v>1.1113</v>
          </cell>
          <cell r="S137">
            <v>8124</v>
          </cell>
          <cell r="T137">
            <v>782594394</v>
          </cell>
          <cell r="U137">
            <v>4796788.16</v>
          </cell>
          <cell r="X137">
            <v>286</v>
          </cell>
          <cell r="Y137">
            <v>8</v>
          </cell>
          <cell r="Z137">
            <v>0</v>
          </cell>
          <cell r="AA137">
            <v>1</v>
          </cell>
          <cell r="AB137">
            <v>1311</v>
          </cell>
          <cell r="AC137">
            <v>188</v>
          </cell>
          <cell r="AD137">
            <v>43</v>
          </cell>
          <cell r="AE137">
            <v>0</v>
          </cell>
          <cell r="AF137">
            <v>0</v>
          </cell>
          <cell r="AG137">
            <v>0</v>
          </cell>
          <cell r="AH137">
            <v>0</v>
          </cell>
          <cell r="AI137">
            <v>6710</v>
          </cell>
          <cell r="AJ137">
            <v>1300</v>
          </cell>
          <cell r="AK137">
            <v>530</v>
          </cell>
          <cell r="AL137">
            <v>770</v>
          </cell>
          <cell r="AM137">
            <v>271</v>
          </cell>
        </row>
        <row r="138">
          <cell r="A138">
            <v>131</v>
          </cell>
          <cell r="B138" t="str">
            <v>Hinckley and Bosworth</v>
          </cell>
          <cell r="C138" t="str">
            <v>E2434</v>
          </cell>
          <cell r="D138">
            <v>1029543.18</v>
          </cell>
          <cell r="E138">
            <v>5715.84</v>
          </cell>
          <cell r="F138">
            <v>8289.7900000000009</v>
          </cell>
          <cell r="G138">
            <v>0</v>
          </cell>
          <cell r="H138">
            <v>275762.39</v>
          </cell>
          <cell r="I138">
            <v>14690.18</v>
          </cell>
          <cell r="J138">
            <v>64674.17</v>
          </cell>
          <cell r="K138">
            <v>357.24</v>
          </cell>
          <cell r="L138">
            <v>0</v>
          </cell>
          <cell r="M138">
            <v>0</v>
          </cell>
          <cell r="N138">
            <v>468679.76</v>
          </cell>
          <cell r="O138">
            <v>1815816.68</v>
          </cell>
          <cell r="P138">
            <v>0.9</v>
          </cell>
          <cell r="Q138">
            <v>1</v>
          </cell>
          <cell r="S138">
            <v>2897</v>
          </cell>
          <cell r="T138">
            <v>69954928</v>
          </cell>
          <cell r="U138">
            <v>274119.51</v>
          </cell>
          <cell r="X138">
            <v>97</v>
          </cell>
          <cell r="Y138">
            <v>2</v>
          </cell>
          <cell r="Z138">
            <v>7</v>
          </cell>
          <cell r="AA138">
            <v>0</v>
          </cell>
          <cell r="AB138">
            <v>376</v>
          </cell>
          <cell r="AC138">
            <v>107</v>
          </cell>
          <cell r="AD138">
            <v>79</v>
          </cell>
          <cell r="AE138">
            <v>2</v>
          </cell>
          <cell r="AF138">
            <v>0</v>
          </cell>
          <cell r="AG138">
            <v>0</v>
          </cell>
          <cell r="AH138">
            <v>0</v>
          </cell>
          <cell r="AI138">
            <v>1713</v>
          </cell>
          <cell r="AJ138">
            <v>1083</v>
          </cell>
          <cell r="AK138">
            <v>783</v>
          </cell>
          <cell r="AL138">
            <v>300</v>
          </cell>
          <cell r="AM138">
            <v>71</v>
          </cell>
        </row>
        <row r="139">
          <cell r="A139">
            <v>132</v>
          </cell>
          <cell r="B139" t="str">
            <v>Horsham</v>
          </cell>
          <cell r="C139" t="str">
            <v>E3835</v>
          </cell>
          <cell r="D139">
            <v>2432942.6800000002</v>
          </cell>
          <cell r="E139">
            <v>81143.740000000005</v>
          </cell>
          <cell r="F139">
            <v>9227.3799999999992</v>
          </cell>
          <cell r="G139">
            <v>0</v>
          </cell>
          <cell r="H139">
            <v>479407.21</v>
          </cell>
          <cell r="I139">
            <v>34514.519999999997</v>
          </cell>
          <cell r="J139">
            <v>333843.88</v>
          </cell>
          <cell r="K139">
            <v>4753.17</v>
          </cell>
          <cell r="L139">
            <v>3373.9</v>
          </cell>
          <cell r="M139">
            <v>0</v>
          </cell>
          <cell r="N139">
            <v>661752.11</v>
          </cell>
          <cell r="O139">
            <v>2037791.05</v>
          </cell>
          <cell r="P139">
            <v>0.9</v>
          </cell>
          <cell r="Q139">
            <v>1</v>
          </cell>
          <cell r="S139">
            <v>4176</v>
          </cell>
          <cell r="T139">
            <v>100248419</v>
          </cell>
          <cell r="U139">
            <v>388140.27</v>
          </cell>
          <cell r="X139">
            <v>222</v>
          </cell>
          <cell r="Y139">
            <v>8</v>
          </cell>
          <cell r="Z139">
            <v>6</v>
          </cell>
          <cell r="AA139">
            <v>1</v>
          </cell>
          <cell r="AB139">
            <v>372</v>
          </cell>
          <cell r="AC139">
            <v>130</v>
          </cell>
          <cell r="AD139">
            <v>5</v>
          </cell>
          <cell r="AE139">
            <v>1</v>
          </cell>
          <cell r="AF139">
            <v>2</v>
          </cell>
          <cell r="AG139">
            <v>0</v>
          </cell>
          <cell r="AH139">
            <v>0</v>
          </cell>
          <cell r="AI139">
            <v>2817</v>
          </cell>
          <cell r="AJ139">
            <v>1163</v>
          </cell>
          <cell r="AK139">
            <v>707</v>
          </cell>
          <cell r="AL139">
            <v>456</v>
          </cell>
          <cell r="AM139">
            <v>149</v>
          </cell>
        </row>
        <row r="140">
          <cell r="A140">
            <v>133</v>
          </cell>
          <cell r="B140" t="str">
            <v>Hounslow</v>
          </cell>
          <cell r="C140" t="str">
            <v>E5042</v>
          </cell>
          <cell r="D140">
            <v>3633607.82</v>
          </cell>
          <cell r="E140">
            <v>42905.440000000002</v>
          </cell>
          <cell r="F140">
            <v>0</v>
          </cell>
          <cell r="G140">
            <v>0</v>
          </cell>
          <cell r="H140">
            <v>7376939.5300000003</v>
          </cell>
          <cell r="I140">
            <v>79891.25</v>
          </cell>
          <cell r="J140">
            <v>397204.04</v>
          </cell>
          <cell r="K140">
            <v>508.38</v>
          </cell>
          <cell r="L140">
            <v>0</v>
          </cell>
          <cell r="M140">
            <v>0</v>
          </cell>
          <cell r="N140">
            <v>2639296.33</v>
          </cell>
          <cell r="O140">
            <v>2021352.28</v>
          </cell>
          <cell r="P140">
            <v>1.5</v>
          </cell>
          <cell r="Q140">
            <v>1.1113</v>
          </cell>
          <cell r="S140">
            <v>6965</v>
          </cell>
          <cell r="T140">
            <v>365340752</v>
          </cell>
          <cell r="U140">
            <v>2181368.25</v>
          </cell>
          <cell r="X140">
            <v>227</v>
          </cell>
          <cell r="Y140">
            <v>10</v>
          </cell>
          <cell r="Z140">
            <v>0</v>
          </cell>
          <cell r="AA140">
            <v>0</v>
          </cell>
          <cell r="AB140">
            <v>1152</v>
          </cell>
          <cell r="AC140">
            <v>76</v>
          </cell>
          <cell r="AD140">
            <v>29</v>
          </cell>
          <cell r="AE140">
            <v>2</v>
          </cell>
          <cell r="AF140">
            <v>0</v>
          </cell>
          <cell r="AG140">
            <v>0</v>
          </cell>
          <cell r="AH140">
            <v>0</v>
          </cell>
          <cell r="AI140">
            <v>3162</v>
          </cell>
          <cell r="AJ140">
            <v>1029</v>
          </cell>
          <cell r="AK140">
            <v>448</v>
          </cell>
          <cell r="AL140">
            <v>581</v>
          </cell>
          <cell r="AM140">
            <v>2732</v>
          </cell>
        </row>
        <row r="141">
          <cell r="A141">
            <v>134</v>
          </cell>
          <cell r="B141" t="str">
            <v>Huntingdonshire</v>
          </cell>
          <cell r="C141" t="str">
            <v>E0551</v>
          </cell>
          <cell r="D141">
            <v>2229333.2599999998</v>
          </cell>
          <cell r="E141">
            <v>192445.96</v>
          </cell>
          <cell r="F141">
            <v>41706.01</v>
          </cell>
          <cell r="G141">
            <v>15122.65</v>
          </cell>
          <cell r="H141">
            <v>1904518.61</v>
          </cell>
          <cell r="I141">
            <v>251.9</v>
          </cell>
          <cell r="J141">
            <v>51007.99</v>
          </cell>
          <cell r="K141">
            <v>0</v>
          </cell>
          <cell r="L141">
            <v>16175.57</v>
          </cell>
          <cell r="M141">
            <v>0</v>
          </cell>
          <cell r="N141">
            <v>1061560.1599999999</v>
          </cell>
          <cell r="O141">
            <v>1744280.6</v>
          </cell>
          <cell r="P141">
            <v>0.9</v>
          </cell>
          <cell r="Q141">
            <v>1.0339</v>
          </cell>
          <cell r="S141">
            <v>4846</v>
          </cell>
          <cell r="T141">
            <v>141876976</v>
          </cell>
          <cell r="U141">
            <v>560991.22</v>
          </cell>
          <cell r="X141">
            <v>249</v>
          </cell>
          <cell r="Y141">
            <v>19</v>
          </cell>
          <cell r="Z141">
            <v>36</v>
          </cell>
          <cell r="AA141">
            <v>2</v>
          </cell>
          <cell r="AB141">
            <v>264</v>
          </cell>
          <cell r="AC141">
            <v>2</v>
          </cell>
          <cell r="AD141">
            <v>46</v>
          </cell>
          <cell r="AE141">
            <v>0</v>
          </cell>
          <cell r="AF141">
            <v>21</v>
          </cell>
          <cell r="AG141">
            <v>1</v>
          </cell>
          <cell r="AH141">
            <v>0</v>
          </cell>
          <cell r="AI141">
            <v>3298</v>
          </cell>
          <cell r="AJ141">
            <v>1328</v>
          </cell>
          <cell r="AK141">
            <v>762</v>
          </cell>
          <cell r="AL141">
            <v>566</v>
          </cell>
          <cell r="AM141">
            <v>204</v>
          </cell>
        </row>
        <row r="142">
          <cell r="A142">
            <v>135</v>
          </cell>
          <cell r="B142" t="str">
            <v>Hyndburn</v>
          </cell>
          <cell r="C142" t="str">
            <v>E2336</v>
          </cell>
          <cell r="D142">
            <v>1052138.26</v>
          </cell>
          <cell r="E142">
            <v>32701.200000000001</v>
          </cell>
          <cell r="F142">
            <v>0</v>
          </cell>
          <cell r="G142">
            <v>0</v>
          </cell>
          <cell r="H142">
            <v>1912389.38</v>
          </cell>
          <cell r="I142">
            <v>23760.94</v>
          </cell>
          <cell r="J142">
            <v>86099.41</v>
          </cell>
          <cell r="K142">
            <v>0</v>
          </cell>
          <cell r="L142">
            <v>0</v>
          </cell>
          <cell r="M142">
            <v>0</v>
          </cell>
          <cell r="N142">
            <v>385690.68</v>
          </cell>
          <cell r="O142">
            <v>1767073.58</v>
          </cell>
          <cell r="P142">
            <v>0.9</v>
          </cell>
          <cell r="Q142">
            <v>1</v>
          </cell>
          <cell r="S142">
            <v>3300</v>
          </cell>
          <cell r="T142">
            <v>59054985</v>
          </cell>
          <cell r="U142">
            <v>206559.15</v>
          </cell>
          <cell r="X142">
            <v>138</v>
          </cell>
          <cell r="Y142">
            <v>3</v>
          </cell>
          <cell r="Z142">
            <v>0</v>
          </cell>
          <cell r="AA142">
            <v>0</v>
          </cell>
          <cell r="AB142">
            <v>812</v>
          </cell>
          <cell r="AC142">
            <v>87</v>
          </cell>
          <cell r="AD142">
            <v>32</v>
          </cell>
          <cell r="AE142">
            <v>0</v>
          </cell>
          <cell r="AF142">
            <v>0</v>
          </cell>
          <cell r="AG142">
            <v>0</v>
          </cell>
          <cell r="AH142">
            <v>0</v>
          </cell>
          <cell r="AI142">
            <v>1401</v>
          </cell>
          <cell r="AJ142">
            <v>1071</v>
          </cell>
          <cell r="AK142">
            <v>849</v>
          </cell>
          <cell r="AL142">
            <v>222</v>
          </cell>
          <cell r="AM142">
            <v>836</v>
          </cell>
        </row>
        <row r="143">
          <cell r="A143">
            <v>136</v>
          </cell>
          <cell r="B143" t="str">
            <v>Ipswich</v>
          </cell>
          <cell r="C143" t="str">
            <v>E3533</v>
          </cell>
          <cell r="D143">
            <v>2436727.33</v>
          </cell>
          <cell r="E143">
            <v>89035.199999999997</v>
          </cell>
          <cell r="F143">
            <v>0</v>
          </cell>
          <cell r="G143">
            <v>0</v>
          </cell>
          <cell r="H143">
            <v>1957096.86</v>
          </cell>
          <cell r="I143">
            <v>25556.720000000001</v>
          </cell>
          <cell r="J143">
            <v>41022.449999999997</v>
          </cell>
          <cell r="K143">
            <v>0</v>
          </cell>
          <cell r="L143">
            <v>0</v>
          </cell>
          <cell r="M143">
            <v>0</v>
          </cell>
          <cell r="N143">
            <v>939276.98</v>
          </cell>
          <cell r="O143">
            <v>1342045.4099999999</v>
          </cell>
          <cell r="P143">
            <v>0.9</v>
          </cell>
          <cell r="Q143">
            <v>1.0054000000000001</v>
          </cell>
          <cell r="S143">
            <v>4272</v>
          </cell>
          <cell r="T143">
            <v>132660697</v>
          </cell>
          <cell r="U143">
            <v>520042.2</v>
          </cell>
          <cell r="X143">
            <v>223</v>
          </cell>
          <cell r="Y143">
            <v>5</v>
          </cell>
          <cell r="Z143">
            <v>0</v>
          </cell>
          <cell r="AA143">
            <v>0</v>
          </cell>
          <cell r="AB143">
            <v>578</v>
          </cell>
          <cell r="AC143">
            <v>66</v>
          </cell>
          <cell r="AD143">
            <v>24</v>
          </cell>
          <cell r="AE143">
            <v>0</v>
          </cell>
          <cell r="AF143">
            <v>0</v>
          </cell>
          <cell r="AG143">
            <v>0</v>
          </cell>
          <cell r="AH143">
            <v>0</v>
          </cell>
          <cell r="AI143">
            <v>2210</v>
          </cell>
          <cell r="AJ143">
            <v>905</v>
          </cell>
          <cell r="AK143">
            <v>690</v>
          </cell>
          <cell r="AL143">
            <v>215</v>
          </cell>
          <cell r="AM143">
            <v>62</v>
          </cell>
        </row>
        <row r="144">
          <cell r="A144">
            <v>137</v>
          </cell>
          <cell r="B144" t="str">
            <v>Isle of Wight Council</v>
          </cell>
          <cell r="C144" t="str">
            <v>E2101</v>
          </cell>
          <cell r="D144">
            <v>1935307.08</v>
          </cell>
          <cell r="E144">
            <v>79527.12</v>
          </cell>
          <cell r="F144">
            <v>17342.47</v>
          </cell>
          <cell r="G144">
            <v>0</v>
          </cell>
          <cell r="H144">
            <v>688621.55</v>
          </cell>
          <cell r="I144">
            <v>17146.12</v>
          </cell>
          <cell r="J144">
            <v>33270.839999999997</v>
          </cell>
          <cell r="K144">
            <v>652.65</v>
          </cell>
          <cell r="L144">
            <v>10860.13</v>
          </cell>
          <cell r="M144">
            <v>2502.5300000000002</v>
          </cell>
          <cell r="N144">
            <v>539313.92000000004</v>
          </cell>
          <cell r="O144">
            <v>3489620.12</v>
          </cell>
          <cell r="P144">
            <v>1.3</v>
          </cell>
          <cell r="Q144">
            <v>1.036</v>
          </cell>
          <cell r="S144">
            <v>6128</v>
          </cell>
          <cell r="T144">
            <v>90881748</v>
          </cell>
          <cell r="U144">
            <v>359607</v>
          </cell>
          <cell r="X144">
            <v>306</v>
          </cell>
          <cell r="Y144">
            <v>18</v>
          </cell>
          <cell r="Z144">
            <v>22</v>
          </cell>
          <cell r="AA144">
            <v>0</v>
          </cell>
          <cell r="AB144">
            <v>396</v>
          </cell>
          <cell r="AC144">
            <v>62</v>
          </cell>
          <cell r="AD144">
            <v>55</v>
          </cell>
          <cell r="AE144">
            <v>1</v>
          </cell>
          <cell r="AF144">
            <v>20</v>
          </cell>
          <cell r="AG144">
            <v>1</v>
          </cell>
          <cell r="AH144">
            <v>0</v>
          </cell>
          <cell r="AI144">
            <v>3537</v>
          </cell>
          <cell r="AJ144">
            <v>2417</v>
          </cell>
          <cell r="AK144">
            <v>1832</v>
          </cell>
          <cell r="AL144">
            <v>585</v>
          </cell>
          <cell r="AM144">
            <v>99</v>
          </cell>
        </row>
        <row r="145">
          <cell r="A145">
            <v>138</v>
          </cell>
          <cell r="B145" t="str">
            <v>Isles of Scilly</v>
          </cell>
          <cell r="C145" t="str">
            <v>E4001</v>
          </cell>
          <cell r="D145">
            <v>13540.16</v>
          </cell>
          <cell r="E145">
            <v>5975.04</v>
          </cell>
          <cell r="F145">
            <v>1175.6600000000001</v>
          </cell>
          <cell r="G145">
            <v>0</v>
          </cell>
          <cell r="H145">
            <v>6381.72</v>
          </cell>
          <cell r="I145">
            <v>2102.64</v>
          </cell>
          <cell r="J145">
            <v>746.98</v>
          </cell>
          <cell r="K145">
            <v>1332.78</v>
          </cell>
          <cell r="L145">
            <v>819.22</v>
          </cell>
          <cell r="M145">
            <v>0</v>
          </cell>
          <cell r="N145">
            <v>13742</v>
          </cell>
          <cell r="O145">
            <v>249341</v>
          </cell>
          <cell r="P145">
            <v>1.3</v>
          </cell>
          <cell r="Q145">
            <v>1.5</v>
          </cell>
          <cell r="S145">
            <v>438</v>
          </cell>
          <cell r="T145">
            <v>4212950</v>
          </cell>
          <cell r="U145">
            <v>16528.099999999999</v>
          </cell>
          <cell r="X145">
            <v>6</v>
          </cell>
          <cell r="Y145">
            <v>3</v>
          </cell>
          <cell r="Z145">
            <v>2</v>
          </cell>
          <cell r="AA145">
            <v>0</v>
          </cell>
          <cell r="AB145">
            <v>0</v>
          </cell>
          <cell r="AC145">
            <v>4</v>
          </cell>
          <cell r="AD145">
            <v>0</v>
          </cell>
          <cell r="AE145">
            <v>2</v>
          </cell>
          <cell r="AF145">
            <v>1</v>
          </cell>
          <cell r="AG145">
            <v>0</v>
          </cell>
          <cell r="AH145">
            <v>0</v>
          </cell>
          <cell r="AI145">
            <v>240</v>
          </cell>
          <cell r="AJ145">
            <v>189</v>
          </cell>
          <cell r="AK145">
            <v>145</v>
          </cell>
          <cell r="AL145">
            <v>44</v>
          </cell>
          <cell r="AM145">
            <v>7</v>
          </cell>
        </row>
        <row r="146">
          <cell r="A146">
            <v>139</v>
          </cell>
          <cell r="B146" t="str">
            <v>Islington</v>
          </cell>
          <cell r="C146" t="str">
            <v>E5015</v>
          </cell>
          <cell r="D146">
            <v>20383352.850000001</v>
          </cell>
          <cell r="E146">
            <v>0</v>
          </cell>
          <cell r="F146">
            <v>0</v>
          </cell>
          <cell r="G146">
            <v>0</v>
          </cell>
          <cell r="H146">
            <v>8820894</v>
          </cell>
          <cell r="I146">
            <v>147915.10999999999</v>
          </cell>
          <cell r="J146">
            <v>148293.92000000001</v>
          </cell>
          <cell r="K146">
            <v>0</v>
          </cell>
          <cell r="L146">
            <v>0</v>
          </cell>
          <cell r="M146">
            <v>0</v>
          </cell>
          <cell r="N146">
            <v>3423723.65</v>
          </cell>
          <cell r="O146">
            <v>3021859.65</v>
          </cell>
          <cell r="P146">
            <v>1.1000000000000001</v>
          </cell>
          <cell r="Q146">
            <v>1.2208000000000001</v>
          </cell>
          <cell r="S146">
            <v>10938</v>
          </cell>
          <cell r="T146">
            <v>485249298</v>
          </cell>
          <cell r="U146">
            <v>2317412.54</v>
          </cell>
          <cell r="X146">
            <v>730</v>
          </cell>
          <cell r="Y146">
            <v>0</v>
          </cell>
          <cell r="Z146">
            <v>0</v>
          </cell>
          <cell r="AA146">
            <v>0</v>
          </cell>
          <cell r="AB146">
            <v>1365</v>
          </cell>
          <cell r="AC146">
            <v>169</v>
          </cell>
          <cell r="AD146">
            <v>48</v>
          </cell>
          <cell r="AE146">
            <v>0</v>
          </cell>
          <cell r="AF146">
            <v>0</v>
          </cell>
          <cell r="AG146">
            <v>0</v>
          </cell>
          <cell r="AH146">
            <v>0</v>
          </cell>
          <cell r="AI146">
            <v>8702</v>
          </cell>
          <cell r="AJ146">
            <v>1445</v>
          </cell>
          <cell r="AK146">
            <v>468</v>
          </cell>
          <cell r="AL146">
            <v>977</v>
          </cell>
          <cell r="AM146">
            <v>860</v>
          </cell>
        </row>
        <row r="147">
          <cell r="A147">
            <v>140</v>
          </cell>
          <cell r="B147" t="str">
            <v>Kensington and Chelsea</v>
          </cell>
          <cell r="C147" t="str">
            <v>E5016</v>
          </cell>
          <cell r="D147">
            <v>15013717.060000001</v>
          </cell>
          <cell r="E147">
            <v>0</v>
          </cell>
          <cell r="F147">
            <v>0</v>
          </cell>
          <cell r="G147">
            <v>0</v>
          </cell>
          <cell r="H147">
            <v>7970031.6599999992</v>
          </cell>
          <cell r="I147">
            <v>30897.63</v>
          </cell>
          <cell r="J147">
            <v>148206.89000000001</v>
          </cell>
          <cell r="K147">
            <v>0</v>
          </cell>
          <cell r="L147">
            <v>0</v>
          </cell>
          <cell r="M147">
            <v>0</v>
          </cell>
          <cell r="N147">
            <v>5011650.1100000003</v>
          </cell>
          <cell r="O147">
            <v>1104143.8799999999</v>
          </cell>
          <cell r="P147">
            <v>1.1000000000000001</v>
          </cell>
          <cell r="Q147">
            <v>1.2208000000000001</v>
          </cell>
          <cell r="S147">
            <v>8372</v>
          </cell>
          <cell r="T147">
            <v>663146584</v>
          </cell>
          <cell r="U147">
            <v>3355578.44</v>
          </cell>
          <cell r="X147">
            <v>309</v>
          </cell>
          <cell r="Y147">
            <v>0</v>
          </cell>
          <cell r="Z147">
            <v>0</v>
          </cell>
          <cell r="AA147">
            <v>0</v>
          </cell>
          <cell r="AB147">
            <v>938</v>
          </cell>
          <cell r="AC147">
            <v>99</v>
          </cell>
          <cell r="AD147">
            <v>29</v>
          </cell>
          <cell r="AE147">
            <v>0</v>
          </cell>
          <cell r="AF147">
            <v>0</v>
          </cell>
          <cell r="AG147">
            <v>0</v>
          </cell>
          <cell r="AH147">
            <v>0</v>
          </cell>
          <cell r="AI147">
            <v>4909</v>
          </cell>
          <cell r="AJ147">
            <v>632</v>
          </cell>
          <cell r="AK147">
            <v>253</v>
          </cell>
          <cell r="AL147">
            <v>379</v>
          </cell>
          <cell r="AM147">
            <v>2829</v>
          </cell>
        </row>
        <row r="148">
          <cell r="A148">
            <v>141</v>
          </cell>
          <cell r="B148" t="str">
            <v>Kettering</v>
          </cell>
          <cell r="C148" t="str">
            <v>E2834</v>
          </cell>
          <cell r="D148">
            <v>1769313</v>
          </cell>
          <cell r="E148">
            <v>65658</v>
          </cell>
          <cell r="F148">
            <v>11254</v>
          </cell>
          <cell r="G148">
            <v>22064</v>
          </cell>
          <cell r="H148">
            <v>732143</v>
          </cell>
          <cell r="I148">
            <v>14045</v>
          </cell>
          <cell r="J148">
            <v>32402</v>
          </cell>
          <cell r="K148">
            <v>2580</v>
          </cell>
          <cell r="L148">
            <v>1736</v>
          </cell>
          <cell r="M148">
            <v>0</v>
          </cell>
          <cell r="N148">
            <v>506607</v>
          </cell>
          <cell r="O148">
            <v>1444210</v>
          </cell>
          <cell r="P148">
            <v>0.9</v>
          </cell>
          <cell r="Q148">
            <v>1.0132000000000001</v>
          </cell>
          <cell r="S148">
            <v>2452</v>
          </cell>
          <cell r="T148">
            <v>75015345</v>
          </cell>
          <cell r="U148">
            <v>292491.64</v>
          </cell>
          <cell r="X148">
            <v>129</v>
          </cell>
          <cell r="Y148">
            <v>14</v>
          </cell>
          <cell r="Z148">
            <v>9</v>
          </cell>
          <cell r="AA148">
            <v>0</v>
          </cell>
          <cell r="AB148">
            <v>133</v>
          </cell>
          <cell r="AC148">
            <v>96</v>
          </cell>
          <cell r="AD148">
            <v>25</v>
          </cell>
          <cell r="AE148">
            <v>14</v>
          </cell>
          <cell r="AF148">
            <v>4</v>
          </cell>
          <cell r="AG148">
            <v>1</v>
          </cell>
          <cell r="AH148">
            <v>0</v>
          </cell>
          <cell r="AI148">
            <v>1655</v>
          </cell>
          <cell r="AJ148">
            <v>751</v>
          </cell>
          <cell r="AK148">
            <v>520</v>
          </cell>
          <cell r="AL148">
            <v>231</v>
          </cell>
          <cell r="AM148">
            <v>45</v>
          </cell>
        </row>
        <row r="149">
          <cell r="A149">
            <v>142</v>
          </cell>
          <cell r="B149" t="str">
            <v>Kings Lynn and West Norfolk</v>
          </cell>
          <cell r="C149" t="str">
            <v>E2634</v>
          </cell>
          <cell r="D149">
            <v>1731474.4</v>
          </cell>
          <cell r="E149">
            <v>22121.4</v>
          </cell>
          <cell r="F149">
            <v>72304.11</v>
          </cell>
          <cell r="G149">
            <v>0</v>
          </cell>
          <cell r="H149">
            <v>1013155.83</v>
          </cell>
          <cell r="I149">
            <v>22619.05</v>
          </cell>
          <cell r="J149">
            <v>40799.64</v>
          </cell>
          <cell r="K149">
            <v>0</v>
          </cell>
          <cell r="L149">
            <v>23838.21</v>
          </cell>
          <cell r="M149">
            <v>21241.25</v>
          </cell>
          <cell r="N149">
            <v>694057.46</v>
          </cell>
          <cell r="O149">
            <v>2625498.14</v>
          </cell>
          <cell r="P149">
            <v>0.9</v>
          </cell>
          <cell r="Q149">
            <v>1</v>
          </cell>
          <cell r="S149">
            <v>5283</v>
          </cell>
          <cell r="T149">
            <v>104840117</v>
          </cell>
          <cell r="U149">
            <v>390663.47</v>
          </cell>
          <cell r="X149">
            <v>278</v>
          </cell>
          <cell r="Y149">
            <v>5</v>
          </cell>
          <cell r="Z149">
            <v>77</v>
          </cell>
          <cell r="AA149">
            <v>0</v>
          </cell>
          <cell r="AB149">
            <v>519</v>
          </cell>
          <cell r="AC149">
            <v>174</v>
          </cell>
          <cell r="AD149">
            <v>40</v>
          </cell>
          <cell r="AE149">
            <v>0</v>
          </cell>
          <cell r="AF149">
            <v>48</v>
          </cell>
          <cell r="AG149">
            <v>18</v>
          </cell>
          <cell r="AH149">
            <v>0</v>
          </cell>
          <cell r="AI149">
            <v>3234</v>
          </cell>
          <cell r="AJ149">
            <v>1897</v>
          </cell>
          <cell r="AK149">
            <v>1425</v>
          </cell>
          <cell r="AL149">
            <v>472</v>
          </cell>
          <cell r="AM149">
            <v>99</v>
          </cell>
        </row>
        <row r="150">
          <cell r="A150">
            <v>143</v>
          </cell>
          <cell r="B150" t="str">
            <v>Kingston upon Hull</v>
          </cell>
          <cell r="C150" t="str">
            <v>E2002</v>
          </cell>
          <cell r="D150">
            <v>4423297.93</v>
          </cell>
          <cell r="E150">
            <v>28874.69</v>
          </cell>
          <cell r="F150">
            <v>0</v>
          </cell>
          <cell r="G150">
            <v>6340.5</v>
          </cell>
          <cell r="H150">
            <v>2076993.36</v>
          </cell>
          <cell r="I150">
            <v>263.35000000000002</v>
          </cell>
          <cell r="J150">
            <v>6075.18</v>
          </cell>
          <cell r="K150">
            <v>0</v>
          </cell>
          <cell r="L150">
            <v>0</v>
          </cell>
          <cell r="M150">
            <v>0</v>
          </cell>
          <cell r="N150">
            <v>1584056.82</v>
          </cell>
          <cell r="O150">
            <v>4350341.1200000001</v>
          </cell>
          <cell r="P150">
            <v>1.3</v>
          </cell>
          <cell r="Q150">
            <v>1</v>
          </cell>
          <cell r="S150">
            <v>8691</v>
          </cell>
          <cell r="T150">
            <v>233676364</v>
          </cell>
          <cell r="U150">
            <v>1010559.43</v>
          </cell>
          <cell r="X150">
            <v>365</v>
          </cell>
          <cell r="Y150">
            <v>4</v>
          </cell>
          <cell r="Z150">
            <v>0</v>
          </cell>
          <cell r="AA150">
            <v>1</v>
          </cell>
          <cell r="AB150">
            <v>718</v>
          </cell>
          <cell r="AC150">
            <v>1</v>
          </cell>
          <cell r="AD150">
            <v>8</v>
          </cell>
          <cell r="AE150">
            <v>0</v>
          </cell>
          <cell r="AF150">
            <v>0</v>
          </cell>
          <cell r="AG150">
            <v>0</v>
          </cell>
          <cell r="AH150">
            <v>0</v>
          </cell>
          <cell r="AI150">
            <v>6099</v>
          </cell>
          <cell r="AJ150">
            <v>2441</v>
          </cell>
          <cell r="AK150">
            <v>1625</v>
          </cell>
          <cell r="AL150">
            <v>816</v>
          </cell>
          <cell r="AM150">
            <v>158</v>
          </cell>
        </row>
        <row r="151">
          <cell r="A151">
            <v>144</v>
          </cell>
          <cell r="B151" t="str">
            <v>Kingston upon Thames</v>
          </cell>
          <cell r="C151" t="str">
            <v>E5043</v>
          </cell>
          <cell r="D151">
            <v>5131462.1100000003</v>
          </cell>
          <cell r="E151">
            <v>64328.74</v>
          </cell>
          <cell r="F151">
            <v>0</v>
          </cell>
          <cell r="G151">
            <v>22244.11</v>
          </cell>
          <cell r="H151">
            <v>2807693.15</v>
          </cell>
          <cell r="I151">
            <v>9219.98</v>
          </cell>
          <cell r="J151">
            <v>269375.15999999997</v>
          </cell>
          <cell r="K151">
            <v>0</v>
          </cell>
          <cell r="L151">
            <v>0</v>
          </cell>
          <cell r="M151">
            <v>0</v>
          </cell>
          <cell r="N151">
            <v>1421841.88</v>
          </cell>
          <cell r="O151">
            <v>2038798.74</v>
          </cell>
          <cell r="P151">
            <v>1.5</v>
          </cell>
          <cell r="Q151">
            <v>1.1113</v>
          </cell>
          <cell r="S151">
            <v>4800</v>
          </cell>
          <cell r="T151">
            <v>201029124</v>
          </cell>
          <cell r="U151">
            <v>1171541.47</v>
          </cell>
          <cell r="X151">
            <v>235</v>
          </cell>
          <cell r="Y151">
            <v>14</v>
          </cell>
          <cell r="Z151">
            <v>0</v>
          </cell>
          <cell r="AA151">
            <v>2</v>
          </cell>
          <cell r="AB151">
            <v>581</v>
          </cell>
          <cell r="AC151">
            <v>29</v>
          </cell>
          <cell r="AD151">
            <v>37</v>
          </cell>
          <cell r="AE151">
            <v>0</v>
          </cell>
          <cell r="AF151">
            <v>0</v>
          </cell>
          <cell r="AG151">
            <v>0</v>
          </cell>
          <cell r="AH151">
            <v>0</v>
          </cell>
          <cell r="AI151">
            <v>3385</v>
          </cell>
          <cell r="AJ151">
            <v>1126</v>
          </cell>
          <cell r="AK151">
            <v>561</v>
          </cell>
          <cell r="AL151">
            <v>565</v>
          </cell>
          <cell r="AM151">
            <v>304</v>
          </cell>
        </row>
        <row r="152">
          <cell r="A152">
            <v>145</v>
          </cell>
          <cell r="B152" t="str">
            <v>Kirklees</v>
          </cell>
          <cell r="C152" t="str">
            <v>E4703</v>
          </cell>
          <cell r="D152">
            <v>4876049.76</v>
          </cell>
          <cell r="E152">
            <v>137016.39000000001</v>
          </cell>
          <cell r="F152">
            <v>8227.4</v>
          </cell>
          <cell r="G152">
            <v>25477.14</v>
          </cell>
          <cell r="H152">
            <v>5142599.28</v>
          </cell>
          <cell r="I152">
            <v>53551.199999999997</v>
          </cell>
          <cell r="J152">
            <v>86719.78</v>
          </cell>
          <cell r="K152">
            <v>1897.15</v>
          </cell>
          <cell r="L152">
            <v>3018.29</v>
          </cell>
          <cell r="M152">
            <v>88796.72</v>
          </cell>
          <cell r="N152">
            <v>2014185.65</v>
          </cell>
          <cell r="O152">
            <v>9444761.1999999993</v>
          </cell>
          <cell r="P152">
            <v>1.7</v>
          </cell>
          <cell r="Q152">
            <v>1.0055000000000001</v>
          </cell>
          <cell r="S152">
            <v>14946</v>
          </cell>
          <cell r="T152">
            <v>285555551</v>
          </cell>
          <cell r="U152">
            <v>1460103.61</v>
          </cell>
          <cell r="X152">
            <v>453</v>
          </cell>
          <cell r="Y152">
            <v>30</v>
          </cell>
          <cell r="Z152">
            <v>6</v>
          </cell>
          <cell r="AA152">
            <v>4</v>
          </cell>
          <cell r="AB152">
            <v>2418</v>
          </cell>
          <cell r="AC152">
            <v>88</v>
          </cell>
          <cell r="AD152">
            <v>48</v>
          </cell>
          <cell r="AE152">
            <v>14</v>
          </cell>
          <cell r="AF152">
            <v>6</v>
          </cell>
          <cell r="AG152">
            <v>48</v>
          </cell>
          <cell r="AH152">
            <v>0</v>
          </cell>
          <cell r="AI152">
            <v>10101</v>
          </cell>
          <cell r="AJ152">
            <v>4435</v>
          </cell>
          <cell r="AK152">
            <v>3188</v>
          </cell>
          <cell r="AL152">
            <v>1247</v>
          </cell>
          <cell r="AM152">
            <v>362</v>
          </cell>
        </row>
        <row r="153">
          <cell r="A153">
            <v>146</v>
          </cell>
          <cell r="B153" t="str">
            <v>Knowsley</v>
          </cell>
          <cell r="C153" t="str">
            <v>E4301</v>
          </cell>
          <cell r="D153">
            <v>1907357.58</v>
          </cell>
          <cell r="E153">
            <v>14271.28</v>
          </cell>
          <cell r="F153">
            <v>0</v>
          </cell>
          <cell r="G153">
            <v>304000</v>
          </cell>
          <cell r="H153">
            <v>1817416.86</v>
          </cell>
          <cell r="I153">
            <v>62627.7</v>
          </cell>
          <cell r="J153">
            <v>24898.5</v>
          </cell>
          <cell r="K153">
            <v>0</v>
          </cell>
          <cell r="L153">
            <v>0</v>
          </cell>
          <cell r="M153">
            <v>0</v>
          </cell>
          <cell r="N153">
            <v>744591.2</v>
          </cell>
          <cell r="O153">
            <v>1325205.67</v>
          </cell>
          <cell r="P153">
            <v>1.7</v>
          </cell>
          <cell r="Q153">
            <v>1.0075000000000001</v>
          </cell>
          <cell r="S153">
            <v>2907</v>
          </cell>
          <cell r="T153">
            <v>103909305</v>
          </cell>
          <cell r="U153">
            <v>556074.56000000006</v>
          </cell>
          <cell r="X153">
            <v>130</v>
          </cell>
          <cell r="Y153">
            <v>3</v>
          </cell>
          <cell r="Z153">
            <v>0</v>
          </cell>
          <cell r="AA153">
            <v>1</v>
          </cell>
          <cell r="AB153">
            <v>234</v>
          </cell>
          <cell r="AC153">
            <v>67</v>
          </cell>
          <cell r="AD153">
            <v>4</v>
          </cell>
          <cell r="AE153">
            <v>0</v>
          </cell>
          <cell r="AF153">
            <v>0</v>
          </cell>
          <cell r="AG153">
            <v>0</v>
          </cell>
          <cell r="AH153">
            <v>0</v>
          </cell>
          <cell r="AI153">
            <v>1281</v>
          </cell>
          <cell r="AJ153">
            <v>795</v>
          </cell>
          <cell r="AK153">
            <v>560</v>
          </cell>
          <cell r="AL153">
            <v>235</v>
          </cell>
          <cell r="AM153">
            <v>810</v>
          </cell>
        </row>
        <row r="154">
          <cell r="A154">
            <v>147</v>
          </cell>
          <cell r="B154" t="str">
            <v>Lambeth</v>
          </cell>
          <cell r="C154" t="str">
            <v>E5017</v>
          </cell>
          <cell r="D154">
            <v>14118819.66</v>
          </cell>
          <cell r="E154">
            <v>7236.4</v>
          </cell>
          <cell r="F154">
            <v>0</v>
          </cell>
          <cell r="G154">
            <v>0</v>
          </cell>
          <cell r="H154">
            <v>3699933.03</v>
          </cell>
          <cell r="I154">
            <v>139781.09</v>
          </cell>
          <cell r="J154">
            <v>254295.67999999999</v>
          </cell>
          <cell r="K154">
            <v>0</v>
          </cell>
          <cell r="L154">
            <v>0</v>
          </cell>
          <cell r="M154">
            <v>0</v>
          </cell>
          <cell r="N154">
            <v>2138722.9</v>
          </cell>
          <cell r="O154">
            <v>4208462.57</v>
          </cell>
          <cell r="P154">
            <v>1.1000000000000001</v>
          </cell>
          <cell r="Q154">
            <v>1.2208000000000001</v>
          </cell>
          <cell r="S154">
            <v>8421</v>
          </cell>
          <cell r="T154">
            <v>311593305</v>
          </cell>
          <cell r="U154">
            <v>1463073.53</v>
          </cell>
          <cell r="X154">
            <v>634</v>
          </cell>
          <cell r="Y154">
            <v>2</v>
          </cell>
          <cell r="Z154">
            <v>0</v>
          </cell>
          <cell r="AA154">
            <v>0</v>
          </cell>
          <cell r="AB154">
            <v>970</v>
          </cell>
          <cell r="AC154">
            <v>139</v>
          </cell>
          <cell r="AD154">
            <v>34</v>
          </cell>
          <cell r="AE154">
            <v>0</v>
          </cell>
          <cell r="AF154">
            <v>0</v>
          </cell>
          <cell r="AG154">
            <v>0</v>
          </cell>
          <cell r="AH154">
            <v>0</v>
          </cell>
          <cell r="AI154">
            <v>2958</v>
          </cell>
          <cell r="AJ154">
            <v>2237</v>
          </cell>
          <cell r="AK154">
            <v>1170</v>
          </cell>
          <cell r="AL154">
            <v>1067</v>
          </cell>
          <cell r="AM154">
            <v>3173</v>
          </cell>
        </row>
        <row r="155">
          <cell r="A155">
            <v>148</v>
          </cell>
          <cell r="B155" t="str">
            <v>Lancaster</v>
          </cell>
          <cell r="C155" t="str">
            <v>E2337</v>
          </cell>
          <cell r="D155">
            <v>3304859.1</v>
          </cell>
          <cell r="E155">
            <v>39042.050000000003</v>
          </cell>
          <cell r="F155">
            <v>26058.17</v>
          </cell>
          <cell r="G155">
            <v>0</v>
          </cell>
          <cell r="H155">
            <v>1442643.17</v>
          </cell>
          <cell r="I155">
            <v>25254.41</v>
          </cell>
          <cell r="J155">
            <v>27907</v>
          </cell>
          <cell r="K155">
            <v>461.42</v>
          </cell>
          <cell r="L155">
            <v>2247.4499999999998</v>
          </cell>
          <cell r="M155">
            <v>0</v>
          </cell>
          <cell r="N155">
            <v>1168997.8500000001</v>
          </cell>
          <cell r="O155">
            <v>2789175.67</v>
          </cell>
          <cell r="P155">
            <v>0.9</v>
          </cell>
          <cell r="Q155">
            <v>1</v>
          </cell>
          <cell r="S155">
            <v>5184</v>
          </cell>
          <cell r="T155">
            <v>163487167</v>
          </cell>
          <cell r="U155">
            <v>424681.77</v>
          </cell>
          <cell r="X155">
            <v>280</v>
          </cell>
          <cell r="Y155">
            <v>27</v>
          </cell>
          <cell r="Z155">
            <v>31</v>
          </cell>
          <cell r="AA155">
            <v>2</v>
          </cell>
          <cell r="AB155">
            <v>823</v>
          </cell>
          <cell r="AC155">
            <v>148</v>
          </cell>
          <cell r="AD155">
            <v>6</v>
          </cell>
          <cell r="AE155">
            <v>14</v>
          </cell>
          <cell r="AF155">
            <v>4</v>
          </cell>
          <cell r="AG155">
            <v>0</v>
          </cell>
          <cell r="AH155">
            <v>0</v>
          </cell>
          <cell r="AI155">
            <v>3077</v>
          </cell>
          <cell r="AJ155">
            <v>1966</v>
          </cell>
          <cell r="AK155">
            <v>1494</v>
          </cell>
          <cell r="AL155">
            <v>472</v>
          </cell>
          <cell r="AM155">
            <v>117</v>
          </cell>
        </row>
        <row r="156">
          <cell r="A156">
            <v>149</v>
          </cell>
          <cell r="B156" t="str">
            <v>Leeds</v>
          </cell>
          <cell r="C156" t="str">
            <v>E4704</v>
          </cell>
          <cell r="D156">
            <v>18294895.059999999</v>
          </cell>
          <cell r="E156">
            <v>277027.81</v>
          </cell>
          <cell r="F156">
            <v>10579.8</v>
          </cell>
          <cell r="G156">
            <v>500000</v>
          </cell>
          <cell r="H156">
            <v>15534658.6</v>
          </cell>
          <cell r="I156">
            <v>11496.22</v>
          </cell>
          <cell r="J156">
            <v>238460.69</v>
          </cell>
          <cell r="K156">
            <v>4780.7299999999996</v>
          </cell>
          <cell r="L156">
            <v>4465.5</v>
          </cell>
          <cell r="M156">
            <v>4130.8599999999997</v>
          </cell>
          <cell r="N156">
            <v>6650861.5199999996</v>
          </cell>
          <cell r="O156">
            <v>12860841.729999999</v>
          </cell>
          <cell r="P156">
            <v>1.7</v>
          </cell>
          <cell r="Q156">
            <v>1.0055000000000001</v>
          </cell>
          <cell r="S156">
            <v>26692</v>
          </cell>
          <cell r="T156">
            <v>925552263</v>
          </cell>
          <cell r="U156">
            <v>4959467.33</v>
          </cell>
          <cell r="X156">
            <v>1026</v>
          </cell>
          <cell r="Y156">
            <v>61</v>
          </cell>
          <cell r="Z156">
            <v>8</v>
          </cell>
          <cell r="AA156">
            <v>6</v>
          </cell>
          <cell r="AB156">
            <v>3059</v>
          </cell>
          <cell r="AC156">
            <v>34</v>
          </cell>
          <cell r="AD156">
            <v>147</v>
          </cell>
          <cell r="AE156">
            <v>47</v>
          </cell>
          <cell r="AF156">
            <v>5</v>
          </cell>
          <cell r="AG156">
            <v>8</v>
          </cell>
          <cell r="AH156">
            <v>0</v>
          </cell>
          <cell r="AI156">
            <v>18525</v>
          </cell>
          <cell r="AJ156">
            <v>7146</v>
          </cell>
          <cell r="AK156">
            <v>4360</v>
          </cell>
          <cell r="AL156">
            <v>2786</v>
          </cell>
          <cell r="AM156">
            <v>692</v>
          </cell>
        </row>
        <row r="157">
          <cell r="A157">
            <v>150</v>
          </cell>
          <cell r="B157" t="str">
            <v>Leicester</v>
          </cell>
          <cell r="C157" t="str">
            <v>E2401</v>
          </cell>
          <cell r="D157">
            <v>7436573</v>
          </cell>
          <cell r="E157">
            <v>37446</v>
          </cell>
          <cell r="F157">
            <v>0</v>
          </cell>
          <cell r="G157">
            <v>20561</v>
          </cell>
          <cell r="H157">
            <v>2194030</v>
          </cell>
          <cell r="I157">
            <v>80213</v>
          </cell>
          <cell r="J157">
            <v>115609</v>
          </cell>
          <cell r="K157">
            <v>0</v>
          </cell>
          <cell r="L157">
            <v>0</v>
          </cell>
          <cell r="M157">
            <v>0</v>
          </cell>
          <cell r="N157">
            <v>1702774</v>
          </cell>
          <cell r="O157">
            <v>6553614</v>
          </cell>
          <cell r="P157">
            <v>1.3</v>
          </cell>
          <cell r="Q157">
            <v>1</v>
          </cell>
          <cell r="S157">
            <v>11641</v>
          </cell>
          <cell r="T157">
            <v>261363852</v>
          </cell>
          <cell r="U157">
            <v>1091227</v>
          </cell>
          <cell r="X157">
            <v>460</v>
          </cell>
          <cell r="Y157">
            <v>8</v>
          </cell>
          <cell r="Z157">
            <v>0</v>
          </cell>
          <cell r="AA157">
            <v>11</v>
          </cell>
          <cell r="AB157">
            <v>2060</v>
          </cell>
          <cell r="AC157">
            <v>231</v>
          </cell>
          <cell r="AD157">
            <v>38</v>
          </cell>
          <cell r="AE157">
            <v>0</v>
          </cell>
          <cell r="AF157">
            <v>0</v>
          </cell>
          <cell r="AG157">
            <v>0</v>
          </cell>
          <cell r="AH157">
            <v>0</v>
          </cell>
          <cell r="AI157">
            <v>7581</v>
          </cell>
          <cell r="AJ157">
            <v>3907</v>
          </cell>
          <cell r="AK157">
            <v>2783</v>
          </cell>
          <cell r="AL157">
            <v>1124</v>
          </cell>
          <cell r="AM157">
            <v>162</v>
          </cell>
        </row>
        <row r="158">
          <cell r="A158">
            <v>151</v>
          </cell>
          <cell r="B158" t="str">
            <v>Lewes</v>
          </cell>
          <cell r="C158" t="str">
            <v>E1435</v>
          </cell>
          <cell r="D158">
            <v>1658072.57</v>
          </cell>
          <cell r="E158">
            <v>75817.320000000007</v>
          </cell>
          <cell r="F158">
            <v>14210.76</v>
          </cell>
          <cell r="G158">
            <v>0</v>
          </cell>
          <cell r="H158">
            <v>614995.56000000006</v>
          </cell>
          <cell r="I158">
            <v>37285.870000000003</v>
          </cell>
          <cell r="J158">
            <v>2229.29</v>
          </cell>
          <cell r="K158">
            <v>125.95</v>
          </cell>
          <cell r="L158">
            <v>0</v>
          </cell>
          <cell r="M158">
            <v>0</v>
          </cell>
          <cell r="N158">
            <v>384869.59</v>
          </cell>
          <cell r="O158">
            <v>1728805.46</v>
          </cell>
          <cell r="P158">
            <v>0.9</v>
          </cell>
          <cell r="Q158">
            <v>1.0089999999999999</v>
          </cell>
          <cell r="S158">
            <v>3097</v>
          </cell>
          <cell r="T158">
            <v>60948782</v>
          </cell>
          <cell r="U158">
            <v>220847.25</v>
          </cell>
          <cell r="X158">
            <v>182</v>
          </cell>
          <cell r="Y158">
            <v>20</v>
          </cell>
          <cell r="Z158">
            <v>1</v>
          </cell>
          <cell r="AA158">
            <v>1</v>
          </cell>
          <cell r="AB158">
            <v>306</v>
          </cell>
          <cell r="AC158">
            <v>93</v>
          </cell>
          <cell r="AD158">
            <v>2</v>
          </cell>
          <cell r="AE158">
            <v>1</v>
          </cell>
          <cell r="AF158">
            <v>0</v>
          </cell>
          <cell r="AG158">
            <v>0</v>
          </cell>
          <cell r="AH158">
            <v>0</v>
          </cell>
          <cell r="AI158">
            <v>1938</v>
          </cell>
          <cell r="AJ158">
            <v>1027</v>
          </cell>
          <cell r="AK158">
            <v>634</v>
          </cell>
          <cell r="AL158">
            <v>393</v>
          </cell>
          <cell r="AM158">
            <v>88</v>
          </cell>
        </row>
        <row r="159">
          <cell r="A159">
            <v>152</v>
          </cell>
          <cell r="B159" t="str">
            <v>Lewisham</v>
          </cell>
          <cell r="C159" t="str">
            <v>E5018</v>
          </cell>
          <cell r="D159">
            <v>4790864.1399999997</v>
          </cell>
          <cell r="E159">
            <v>0</v>
          </cell>
          <cell r="F159">
            <v>0</v>
          </cell>
          <cell r="G159">
            <v>0</v>
          </cell>
          <cell r="H159">
            <v>1997862.84</v>
          </cell>
          <cell r="I159">
            <v>54553.24</v>
          </cell>
          <cell r="J159">
            <v>24620.63</v>
          </cell>
          <cell r="K159">
            <v>0</v>
          </cell>
          <cell r="L159">
            <v>0</v>
          </cell>
          <cell r="M159">
            <v>0</v>
          </cell>
          <cell r="N159">
            <v>795012.46</v>
          </cell>
          <cell r="O159">
            <v>4002076.33</v>
          </cell>
          <cell r="P159">
            <v>1.1000000000000001</v>
          </cell>
          <cell r="Q159">
            <v>1.2208000000000001</v>
          </cell>
          <cell r="S159">
            <v>5989</v>
          </cell>
          <cell r="T159">
            <v>133224033</v>
          </cell>
          <cell r="U159">
            <v>614143.77</v>
          </cell>
          <cell r="X159">
            <v>216</v>
          </cell>
          <cell r="Y159">
            <v>0</v>
          </cell>
          <cell r="Z159">
            <v>0</v>
          </cell>
          <cell r="AA159">
            <v>0</v>
          </cell>
          <cell r="AB159">
            <v>742</v>
          </cell>
          <cell r="AC159">
            <v>71</v>
          </cell>
          <cell r="AD159">
            <v>11</v>
          </cell>
          <cell r="AE159">
            <v>0</v>
          </cell>
          <cell r="AF159">
            <v>0</v>
          </cell>
          <cell r="AG159">
            <v>0</v>
          </cell>
          <cell r="AH159">
            <v>0</v>
          </cell>
          <cell r="AI159">
            <v>1684</v>
          </cell>
          <cell r="AJ159">
            <v>1971</v>
          </cell>
          <cell r="AK159">
            <v>1027</v>
          </cell>
          <cell r="AL159">
            <v>944</v>
          </cell>
          <cell r="AM159">
            <v>2320</v>
          </cell>
        </row>
        <row r="160">
          <cell r="A160">
            <v>153</v>
          </cell>
          <cell r="B160" t="str">
            <v>Lichfield</v>
          </cell>
          <cell r="C160" t="str">
            <v>E3433</v>
          </cell>
          <cell r="D160">
            <v>726754.07</v>
          </cell>
          <cell r="E160">
            <v>50404.39</v>
          </cell>
          <cell r="F160">
            <v>6108.58</v>
          </cell>
          <cell r="G160">
            <v>95000</v>
          </cell>
          <cell r="H160">
            <v>1132832.2</v>
          </cell>
          <cell r="I160">
            <v>7715.49</v>
          </cell>
          <cell r="J160">
            <v>29358.31</v>
          </cell>
          <cell r="K160">
            <v>0</v>
          </cell>
          <cell r="L160">
            <v>2748</v>
          </cell>
          <cell r="M160">
            <v>0</v>
          </cell>
          <cell r="N160">
            <v>610202.22</v>
          </cell>
          <cell r="O160">
            <v>1303005.8500000001</v>
          </cell>
          <cell r="P160">
            <v>0.9</v>
          </cell>
          <cell r="Q160">
            <v>1</v>
          </cell>
          <cell r="S160">
            <v>2841</v>
          </cell>
          <cell r="T160">
            <v>81672613</v>
          </cell>
          <cell r="U160">
            <v>321064.95</v>
          </cell>
          <cell r="X160">
            <v>105</v>
          </cell>
          <cell r="Y160">
            <v>13</v>
          </cell>
          <cell r="Z160">
            <v>7</v>
          </cell>
          <cell r="AA160">
            <v>0</v>
          </cell>
          <cell r="AB160">
            <v>410</v>
          </cell>
          <cell r="AC160">
            <v>25</v>
          </cell>
          <cell r="AD160">
            <v>26</v>
          </cell>
          <cell r="AE160">
            <v>0</v>
          </cell>
          <cell r="AF160">
            <v>4</v>
          </cell>
          <cell r="AG160">
            <v>0</v>
          </cell>
          <cell r="AH160">
            <v>0</v>
          </cell>
          <cell r="AI160">
            <v>2019</v>
          </cell>
          <cell r="AJ160">
            <v>709</v>
          </cell>
          <cell r="AK160">
            <v>368</v>
          </cell>
          <cell r="AL160">
            <v>341</v>
          </cell>
          <cell r="AM160">
            <v>101</v>
          </cell>
        </row>
        <row r="161">
          <cell r="A161">
            <v>154</v>
          </cell>
          <cell r="B161" t="str">
            <v>Lincoln</v>
          </cell>
          <cell r="C161" t="str">
            <v>E2533</v>
          </cell>
          <cell r="D161">
            <v>3340382.52</v>
          </cell>
          <cell r="E161">
            <v>74285.77</v>
          </cell>
          <cell r="F161">
            <v>0</v>
          </cell>
          <cell r="G161">
            <v>0</v>
          </cell>
          <cell r="H161">
            <v>1190023.08</v>
          </cell>
          <cell r="I161">
            <v>8531.2199999999993</v>
          </cell>
          <cell r="J161">
            <v>601.46</v>
          </cell>
          <cell r="K161">
            <v>883.25</v>
          </cell>
          <cell r="L161">
            <v>0</v>
          </cell>
          <cell r="M161">
            <v>0</v>
          </cell>
          <cell r="N161">
            <v>790159.24</v>
          </cell>
          <cell r="O161">
            <v>1164265.68</v>
          </cell>
          <cell r="P161">
            <v>0.9</v>
          </cell>
          <cell r="Q161">
            <v>1</v>
          </cell>
          <cell r="S161">
            <v>3383</v>
          </cell>
          <cell r="T161">
            <v>104513012</v>
          </cell>
          <cell r="U161">
            <v>398558.6</v>
          </cell>
          <cell r="X161">
            <v>193</v>
          </cell>
          <cell r="Y161">
            <v>11</v>
          </cell>
          <cell r="Z161">
            <v>0</v>
          </cell>
          <cell r="AA161">
            <v>0</v>
          </cell>
          <cell r="AB161">
            <v>331</v>
          </cell>
          <cell r="AC161">
            <v>37</v>
          </cell>
          <cell r="AD161">
            <v>1</v>
          </cell>
          <cell r="AE161">
            <v>4</v>
          </cell>
          <cell r="AF161">
            <v>0</v>
          </cell>
          <cell r="AG161">
            <v>0</v>
          </cell>
          <cell r="AH161">
            <v>0</v>
          </cell>
          <cell r="AI161">
            <v>1823</v>
          </cell>
          <cell r="AJ161">
            <v>1095</v>
          </cell>
          <cell r="AK161">
            <v>767</v>
          </cell>
          <cell r="AL161">
            <v>328</v>
          </cell>
          <cell r="AM161">
            <v>67</v>
          </cell>
        </row>
        <row r="162">
          <cell r="A162">
            <v>155</v>
          </cell>
          <cell r="B162" t="str">
            <v>Liverpool</v>
          </cell>
          <cell r="C162" t="str">
            <v>E4302</v>
          </cell>
          <cell r="D162">
            <v>13669469.48</v>
          </cell>
          <cell r="E162">
            <v>0</v>
          </cell>
          <cell r="F162">
            <v>0</v>
          </cell>
          <cell r="G162">
            <v>0</v>
          </cell>
          <cell r="H162">
            <v>14972930.239999998</v>
          </cell>
          <cell r="I162">
            <v>122093.85</v>
          </cell>
          <cell r="J162">
            <v>226557.89</v>
          </cell>
          <cell r="K162">
            <v>0</v>
          </cell>
          <cell r="L162">
            <v>0</v>
          </cell>
          <cell r="M162">
            <v>0</v>
          </cell>
          <cell r="N162">
            <v>3735183.94</v>
          </cell>
          <cell r="O162">
            <v>5936492.4700000007</v>
          </cell>
          <cell r="P162">
            <v>1.7</v>
          </cell>
          <cell r="Q162">
            <v>1.0075000000000001</v>
          </cell>
          <cell r="S162">
            <v>16936</v>
          </cell>
          <cell r="T162">
            <v>522035213</v>
          </cell>
          <cell r="U162">
            <v>2640322.6800000002</v>
          </cell>
          <cell r="X162">
            <v>826</v>
          </cell>
          <cell r="Y162">
            <v>2</v>
          </cell>
          <cell r="Z162">
            <v>0</v>
          </cell>
          <cell r="AA162">
            <v>0</v>
          </cell>
          <cell r="AB162">
            <v>3604</v>
          </cell>
          <cell r="AC162">
            <v>112</v>
          </cell>
          <cell r="AD162">
            <v>39</v>
          </cell>
          <cell r="AE162">
            <v>0</v>
          </cell>
          <cell r="AF162">
            <v>0</v>
          </cell>
          <cell r="AG162">
            <v>0</v>
          </cell>
          <cell r="AH162">
            <v>0</v>
          </cell>
          <cell r="AI162">
            <v>12858</v>
          </cell>
          <cell r="AJ162">
            <v>3560</v>
          </cell>
          <cell r="AK162">
            <v>2510</v>
          </cell>
          <cell r="AL162">
            <v>1050</v>
          </cell>
          <cell r="AM162">
            <v>256</v>
          </cell>
        </row>
        <row r="163">
          <cell r="A163">
            <v>156</v>
          </cell>
          <cell r="B163" t="str">
            <v>Luton</v>
          </cell>
          <cell r="C163" t="str">
            <v>E0201</v>
          </cell>
          <cell r="D163">
            <v>3150631.73</v>
          </cell>
          <cell r="E163">
            <v>252115.28</v>
          </cell>
          <cell r="F163">
            <v>0</v>
          </cell>
          <cell r="G163">
            <v>284991.71999999997</v>
          </cell>
          <cell r="H163">
            <v>1752243.58</v>
          </cell>
          <cell r="I163">
            <v>80000</v>
          </cell>
          <cell r="J163">
            <v>40000</v>
          </cell>
          <cell r="K163">
            <v>34.909999999999997</v>
          </cell>
          <cell r="L163">
            <v>0</v>
          </cell>
          <cell r="M163">
            <v>0</v>
          </cell>
          <cell r="N163">
            <v>1133420.3799999999</v>
          </cell>
          <cell r="O163">
            <v>2897367.92</v>
          </cell>
          <cell r="P163">
            <v>1.3</v>
          </cell>
          <cell r="Q163">
            <v>1.0392999999999999</v>
          </cell>
          <cell r="S163">
            <v>5577</v>
          </cell>
          <cell r="T163">
            <v>172058371</v>
          </cell>
          <cell r="U163">
            <v>733713.59</v>
          </cell>
          <cell r="X163">
            <v>213</v>
          </cell>
          <cell r="Y163">
            <v>6</v>
          </cell>
          <cell r="Z163">
            <v>0</v>
          </cell>
          <cell r="AA163">
            <v>0</v>
          </cell>
          <cell r="AB163">
            <v>1034</v>
          </cell>
          <cell r="AC163">
            <v>33</v>
          </cell>
          <cell r="AD163">
            <v>3</v>
          </cell>
          <cell r="AE163">
            <v>1</v>
          </cell>
          <cell r="AF163">
            <v>0</v>
          </cell>
          <cell r="AG163">
            <v>0</v>
          </cell>
          <cell r="AH163">
            <v>0</v>
          </cell>
          <cell r="AI163">
            <v>4290</v>
          </cell>
          <cell r="AJ163">
            <v>1076</v>
          </cell>
          <cell r="AK163">
            <v>532</v>
          </cell>
          <cell r="AL163">
            <v>544</v>
          </cell>
          <cell r="AM163">
            <v>131</v>
          </cell>
        </row>
        <row r="164">
          <cell r="A164">
            <v>157</v>
          </cell>
          <cell r="B164" t="str">
            <v>Maidstone</v>
          </cell>
          <cell r="C164" t="str">
            <v>E2237</v>
          </cell>
          <cell r="D164">
            <v>2751237.28</v>
          </cell>
          <cell r="E164">
            <v>73594.929999999993</v>
          </cell>
          <cell r="F164">
            <v>1963.67</v>
          </cell>
          <cell r="G164">
            <v>0</v>
          </cell>
          <cell r="H164">
            <v>1851888.02</v>
          </cell>
          <cell r="I164">
            <v>27897.39</v>
          </cell>
          <cell r="J164">
            <v>3471.32</v>
          </cell>
          <cell r="K164">
            <v>721.36</v>
          </cell>
          <cell r="L164">
            <v>0</v>
          </cell>
          <cell r="M164">
            <v>0</v>
          </cell>
          <cell r="N164">
            <v>992584.23</v>
          </cell>
          <cell r="O164">
            <v>1698910.6</v>
          </cell>
          <cell r="P164">
            <v>0.9</v>
          </cell>
          <cell r="Q164">
            <v>1.0067999999999999</v>
          </cell>
          <cell r="S164">
            <v>4596</v>
          </cell>
          <cell r="T164">
            <v>141235352</v>
          </cell>
          <cell r="U164">
            <v>544165.66</v>
          </cell>
          <cell r="X164">
            <v>242</v>
          </cell>
          <cell r="Y164">
            <v>26</v>
          </cell>
          <cell r="Z164">
            <v>7</v>
          </cell>
          <cell r="AA164">
            <v>0</v>
          </cell>
          <cell r="AB164">
            <v>422</v>
          </cell>
          <cell r="AC164">
            <v>94</v>
          </cell>
          <cell r="AD164">
            <v>3</v>
          </cell>
          <cell r="AE164">
            <v>1</v>
          </cell>
          <cell r="AF164">
            <v>5</v>
          </cell>
          <cell r="AG164">
            <v>0</v>
          </cell>
          <cell r="AH164">
            <v>0</v>
          </cell>
          <cell r="AI164">
            <v>3560</v>
          </cell>
          <cell r="AJ164">
            <v>915</v>
          </cell>
          <cell r="AK164">
            <v>492</v>
          </cell>
          <cell r="AL164">
            <v>423</v>
          </cell>
          <cell r="AM164">
            <v>87</v>
          </cell>
        </row>
        <row r="165">
          <cell r="A165">
            <v>158</v>
          </cell>
          <cell r="B165" t="str">
            <v>Maldon</v>
          </cell>
          <cell r="C165" t="str">
            <v>E1539</v>
          </cell>
          <cell r="D165">
            <v>672943.79</v>
          </cell>
          <cell r="E165">
            <v>23092.36</v>
          </cell>
          <cell r="F165">
            <v>13165.58</v>
          </cell>
          <cell r="G165">
            <v>0</v>
          </cell>
          <cell r="H165">
            <v>405125.54</v>
          </cell>
          <cell r="I165">
            <v>7224.35</v>
          </cell>
          <cell r="J165">
            <v>13871.95</v>
          </cell>
          <cell r="K165">
            <v>33.21</v>
          </cell>
          <cell r="L165">
            <v>2067.44</v>
          </cell>
          <cell r="M165">
            <v>0</v>
          </cell>
          <cell r="N165">
            <v>199023.32</v>
          </cell>
          <cell r="O165">
            <v>1383577.94</v>
          </cell>
          <cell r="P165">
            <v>0.9</v>
          </cell>
          <cell r="Q165">
            <v>1.0129999999999999</v>
          </cell>
          <cell r="S165">
            <v>2304</v>
          </cell>
          <cell r="T165">
            <v>34612606</v>
          </cell>
          <cell r="U165">
            <v>124568.61</v>
          </cell>
          <cell r="X165">
            <v>135</v>
          </cell>
          <cell r="Y165">
            <v>7</v>
          </cell>
          <cell r="Z165">
            <v>12</v>
          </cell>
          <cell r="AA165">
            <v>2</v>
          </cell>
          <cell r="AB165">
            <v>244</v>
          </cell>
          <cell r="AC165">
            <v>83</v>
          </cell>
          <cell r="AD165">
            <v>5</v>
          </cell>
          <cell r="AE165">
            <v>1</v>
          </cell>
          <cell r="AF165">
            <v>7</v>
          </cell>
          <cell r="AG165">
            <v>0</v>
          </cell>
          <cell r="AH165">
            <v>0</v>
          </cell>
          <cell r="AI165">
            <v>716</v>
          </cell>
          <cell r="AJ165">
            <v>858</v>
          </cell>
          <cell r="AK165">
            <v>586</v>
          </cell>
          <cell r="AL165">
            <v>272</v>
          </cell>
          <cell r="AM165">
            <v>711</v>
          </cell>
        </row>
        <row r="166">
          <cell r="A166">
            <v>159</v>
          </cell>
          <cell r="B166" t="str">
            <v>Malvern Hills</v>
          </cell>
          <cell r="C166" t="str">
            <v>E1851</v>
          </cell>
          <cell r="D166">
            <v>1603722.01</v>
          </cell>
          <cell r="E166">
            <v>37148.83</v>
          </cell>
          <cell r="F166">
            <v>55413.599999999999</v>
          </cell>
          <cell r="G166">
            <v>0</v>
          </cell>
          <cell r="H166">
            <v>267971.57</v>
          </cell>
          <cell r="I166">
            <v>18587.21</v>
          </cell>
          <cell r="J166">
            <v>52296.08</v>
          </cell>
          <cell r="K166">
            <v>2303.1999999999998</v>
          </cell>
          <cell r="L166">
            <v>30268.28</v>
          </cell>
          <cell r="M166">
            <v>6425.85</v>
          </cell>
          <cell r="N166">
            <v>243264.48</v>
          </cell>
          <cell r="O166">
            <v>1748036.78</v>
          </cell>
          <cell r="P166">
            <v>0.9</v>
          </cell>
          <cell r="Q166">
            <v>1</v>
          </cell>
          <cell r="R166" t="str">
            <v>y</v>
          </cell>
          <cell r="S166">
            <v>2717</v>
          </cell>
          <cell r="T166">
            <v>42577858</v>
          </cell>
          <cell r="U166">
            <v>155567.69</v>
          </cell>
          <cell r="X166">
            <v>184</v>
          </cell>
          <cell r="Y166">
            <v>9</v>
          </cell>
          <cell r="Z166">
            <v>36</v>
          </cell>
          <cell r="AA166">
            <v>1</v>
          </cell>
          <cell r="AB166">
            <v>294</v>
          </cell>
          <cell r="AC166">
            <v>138</v>
          </cell>
          <cell r="AD166">
            <v>27</v>
          </cell>
          <cell r="AE166">
            <v>9</v>
          </cell>
          <cell r="AF166">
            <v>34</v>
          </cell>
          <cell r="AG166">
            <v>4</v>
          </cell>
          <cell r="AH166">
            <v>0</v>
          </cell>
          <cell r="AI166">
            <v>1600</v>
          </cell>
          <cell r="AJ166">
            <v>1094</v>
          </cell>
          <cell r="AK166">
            <v>0</v>
          </cell>
          <cell r="AL166">
            <v>0</v>
          </cell>
          <cell r="AM166">
            <v>76</v>
          </cell>
        </row>
        <row r="167">
          <cell r="A167">
            <v>160</v>
          </cell>
          <cell r="B167" t="str">
            <v>Manchester</v>
          </cell>
          <cell r="C167" t="str">
            <v>E4203</v>
          </cell>
          <cell r="D167">
            <v>23799912.959999997</v>
          </cell>
          <cell r="E167">
            <v>111286.67</v>
          </cell>
          <cell r="F167">
            <v>0</v>
          </cell>
          <cell r="G167">
            <v>100000</v>
          </cell>
          <cell r="H167">
            <v>28458815.190000001</v>
          </cell>
          <cell r="I167">
            <v>153500.64000000001</v>
          </cell>
          <cell r="J167">
            <v>624116.63</v>
          </cell>
          <cell r="K167">
            <v>0</v>
          </cell>
          <cell r="L167">
            <v>0</v>
          </cell>
          <cell r="M167">
            <v>0</v>
          </cell>
          <cell r="N167">
            <v>6261931.7000000002</v>
          </cell>
          <cell r="O167">
            <v>6900103.8899999997</v>
          </cell>
          <cell r="P167">
            <v>1.7</v>
          </cell>
          <cell r="Q167">
            <v>1.0168999999999999</v>
          </cell>
          <cell r="S167">
            <v>23361</v>
          </cell>
          <cell r="T167">
            <v>857664809</v>
          </cell>
          <cell r="U167">
            <v>4347581.6399999997</v>
          </cell>
          <cell r="X167">
            <v>909</v>
          </cell>
          <cell r="Y167">
            <v>13</v>
          </cell>
          <cell r="Z167">
            <v>0</v>
          </cell>
          <cell r="AA167">
            <v>0</v>
          </cell>
          <cell r="AB167">
            <v>5801</v>
          </cell>
          <cell r="AC167">
            <v>43</v>
          </cell>
          <cell r="AD167">
            <v>62</v>
          </cell>
          <cell r="AE167">
            <v>0</v>
          </cell>
          <cell r="AF167">
            <v>0</v>
          </cell>
          <cell r="AG167">
            <v>0</v>
          </cell>
          <cell r="AH167">
            <v>0</v>
          </cell>
          <cell r="AI167">
            <v>18725</v>
          </cell>
          <cell r="AJ167">
            <v>3793</v>
          </cell>
          <cell r="AK167">
            <v>2262</v>
          </cell>
          <cell r="AL167">
            <v>1531</v>
          </cell>
          <cell r="AM167">
            <v>399</v>
          </cell>
        </row>
        <row r="168">
          <cell r="A168">
            <v>161</v>
          </cell>
          <cell r="B168" t="str">
            <v>Mansfield</v>
          </cell>
          <cell r="C168" t="str">
            <v>E3035</v>
          </cell>
          <cell r="D168">
            <v>1190140.79</v>
          </cell>
          <cell r="E168">
            <v>9251.6</v>
          </cell>
          <cell r="F168">
            <v>445.41</v>
          </cell>
          <cell r="G168">
            <v>0</v>
          </cell>
          <cell r="H168">
            <v>891641.14</v>
          </cell>
          <cell r="I168">
            <v>1306.26</v>
          </cell>
          <cell r="J168">
            <v>20796.75</v>
          </cell>
          <cell r="K168">
            <v>0</v>
          </cell>
          <cell r="L168">
            <v>0</v>
          </cell>
          <cell r="M168">
            <v>0</v>
          </cell>
          <cell r="N168">
            <v>470631.94</v>
          </cell>
          <cell r="O168">
            <v>942773.07</v>
          </cell>
          <cell r="P168">
            <v>0.9</v>
          </cell>
          <cell r="Q168">
            <v>1.0121</v>
          </cell>
          <cell r="S168">
            <v>3023</v>
          </cell>
          <cell r="T168">
            <v>70157578</v>
          </cell>
          <cell r="U168">
            <v>273900.67</v>
          </cell>
          <cell r="X168">
            <v>136</v>
          </cell>
          <cell r="Y168">
            <v>1</v>
          </cell>
          <cell r="Z168">
            <v>2</v>
          </cell>
          <cell r="AA168">
            <v>0</v>
          </cell>
          <cell r="AB168">
            <v>421</v>
          </cell>
          <cell r="AC168">
            <v>7</v>
          </cell>
          <cell r="AD168">
            <v>17</v>
          </cell>
          <cell r="AE168">
            <v>0</v>
          </cell>
          <cell r="AF168">
            <v>0</v>
          </cell>
          <cell r="AG168">
            <v>0</v>
          </cell>
          <cell r="AH168">
            <v>0</v>
          </cell>
          <cell r="AI168">
            <v>2070</v>
          </cell>
          <cell r="AJ168">
            <v>888</v>
          </cell>
          <cell r="AK168">
            <v>704</v>
          </cell>
          <cell r="AL168">
            <v>184</v>
          </cell>
          <cell r="AM168">
            <v>26</v>
          </cell>
        </row>
        <row r="169">
          <cell r="A169">
            <v>162</v>
          </cell>
          <cell r="B169" t="str">
            <v>Medway</v>
          </cell>
          <cell r="C169" t="str">
            <v>E2201</v>
          </cell>
          <cell r="D169">
            <v>4887683.4800000004</v>
          </cell>
          <cell r="E169">
            <v>118024.27</v>
          </cell>
          <cell r="F169">
            <v>9079.85</v>
          </cell>
          <cell r="G169">
            <v>200000</v>
          </cell>
          <cell r="H169">
            <v>3512528.13</v>
          </cell>
          <cell r="I169">
            <v>64966.494999999995</v>
          </cell>
          <cell r="J169">
            <v>138717.21</v>
          </cell>
          <cell r="K169">
            <v>7033.0174999999999</v>
          </cell>
          <cell r="L169">
            <v>0</v>
          </cell>
          <cell r="M169">
            <v>0</v>
          </cell>
          <cell r="N169">
            <v>1615102.72</v>
          </cell>
          <cell r="O169">
            <v>2296504.52</v>
          </cell>
          <cell r="P169">
            <v>1.3</v>
          </cell>
          <cell r="Q169">
            <v>1.0067999999999999</v>
          </cell>
          <cell r="S169">
            <v>6211</v>
          </cell>
          <cell r="T169">
            <v>230643641</v>
          </cell>
          <cell r="U169">
            <v>871102.15</v>
          </cell>
          <cell r="X169">
            <v>285</v>
          </cell>
          <cell r="Y169">
            <v>13</v>
          </cell>
          <cell r="Z169">
            <v>9</v>
          </cell>
          <cell r="AA169">
            <v>1</v>
          </cell>
          <cell r="AB169">
            <v>537</v>
          </cell>
          <cell r="AC169">
            <v>198</v>
          </cell>
          <cell r="AD169">
            <v>46</v>
          </cell>
          <cell r="AE169">
            <v>12</v>
          </cell>
          <cell r="AF169">
            <v>1</v>
          </cell>
          <cell r="AG169">
            <v>0</v>
          </cell>
          <cell r="AH169">
            <v>0</v>
          </cell>
          <cell r="AI169">
            <v>4366</v>
          </cell>
          <cell r="AJ169">
            <v>1675</v>
          </cell>
          <cell r="AK169">
            <v>983</v>
          </cell>
          <cell r="AL169">
            <v>692</v>
          </cell>
          <cell r="AM169">
            <v>127</v>
          </cell>
        </row>
        <row r="170">
          <cell r="A170">
            <v>163</v>
          </cell>
          <cell r="B170" t="str">
            <v>Melton</v>
          </cell>
          <cell r="C170" t="str">
            <v>E2436</v>
          </cell>
          <cell r="D170">
            <v>686849</v>
          </cell>
          <cell r="E170">
            <v>34066</v>
          </cell>
          <cell r="F170">
            <v>23222</v>
          </cell>
          <cell r="G170">
            <v>0</v>
          </cell>
          <cell r="H170">
            <v>145419</v>
          </cell>
          <cell r="I170">
            <v>3796</v>
          </cell>
          <cell r="J170">
            <v>10719</v>
          </cell>
          <cell r="K170">
            <v>93.03</v>
          </cell>
          <cell r="L170">
            <v>8809.56</v>
          </cell>
          <cell r="M170">
            <v>852.13</v>
          </cell>
          <cell r="N170">
            <v>133759</v>
          </cell>
          <cell r="O170">
            <v>856506</v>
          </cell>
          <cell r="P170">
            <v>0.9</v>
          </cell>
          <cell r="Q170">
            <v>1</v>
          </cell>
          <cell r="S170">
            <v>1482</v>
          </cell>
          <cell r="T170">
            <v>32476476</v>
          </cell>
          <cell r="U170">
            <v>122647.91</v>
          </cell>
          <cell r="X170">
            <v>71</v>
          </cell>
          <cell r="Y170">
            <v>7</v>
          </cell>
          <cell r="Z170">
            <v>20</v>
          </cell>
          <cell r="AA170">
            <v>0</v>
          </cell>
          <cell r="AB170">
            <v>75</v>
          </cell>
          <cell r="AC170">
            <v>46</v>
          </cell>
          <cell r="AD170">
            <v>7</v>
          </cell>
          <cell r="AE170">
            <v>2</v>
          </cell>
          <cell r="AF170">
            <v>11</v>
          </cell>
          <cell r="AG170">
            <v>3</v>
          </cell>
          <cell r="AH170">
            <v>0</v>
          </cell>
          <cell r="AI170">
            <v>936</v>
          </cell>
          <cell r="AJ170">
            <v>508</v>
          </cell>
          <cell r="AK170">
            <v>351</v>
          </cell>
          <cell r="AL170">
            <v>157</v>
          </cell>
          <cell r="AM170">
            <v>34</v>
          </cell>
        </row>
        <row r="171">
          <cell r="A171">
            <v>164</v>
          </cell>
          <cell r="B171" t="str">
            <v>Mendip</v>
          </cell>
          <cell r="C171" t="str">
            <v>E3331</v>
          </cell>
          <cell r="D171">
            <v>2501155.7000000002</v>
          </cell>
          <cell r="E171">
            <v>76251.839999999997</v>
          </cell>
          <cell r="F171">
            <v>31699.29</v>
          </cell>
          <cell r="G171">
            <v>0</v>
          </cell>
          <cell r="H171">
            <v>1476486.2</v>
          </cell>
          <cell r="I171">
            <v>7586.79</v>
          </cell>
          <cell r="J171">
            <v>4100.4799999999996</v>
          </cell>
          <cell r="K171">
            <v>644.67999999999995</v>
          </cell>
          <cell r="L171">
            <v>7699.63</v>
          </cell>
          <cell r="M171">
            <v>5588.86</v>
          </cell>
          <cell r="N171">
            <v>537368.85</v>
          </cell>
          <cell r="O171">
            <v>2308422.7599999998</v>
          </cell>
          <cell r="P171">
            <v>0.9</v>
          </cell>
          <cell r="Q171">
            <v>1</v>
          </cell>
          <cell r="S171">
            <v>3913</v>
          </cell>
          <cell r="T171">
            <v>81610187</v>
          </cell>
          <cell r="U171">
            <v>291817.61</v>
          </cell>
          <cell r="X171">
            <v>266</v>
          </cell>
          <cell r="Y171">
            <v>12</v>
          </cell>
          <cell r="Z171">
            <v>28</v>
          </cell>
          <cell r="AA171">
            <v>0</v>
          </cell>
          <cell r="AB171">
            <v>417</v>
          </cell>
          <cell r="AC171">
            <v>64</v>
          </cell>
          <cell r="AD171">
            <v>8</v>
          </cell>
          <cell r="AE171">
            <v>5</v>
          </cell>
          <cell r="AF171">
            <v>15</v>
          </cell>
          <cell r="AG171">
            <v>40</v>
          </cell>
          <cell r="AH171">
            <v>0</v>
          </cell>
          <cell r="AI171">
            <v>2403</v>
          </cell>
          <cell r="AJ171">
            <v>1389</v>
          </cell>
          <cell r="AK171">
            <v>939</v>
          </cell>
          <cell r="AL171">
            <v>450</v>
          </cell>
          <cell r="AM171">
            <v>111</v>
          </cell>
        </row>
        <row r="172">
          <cell r="A172">
            <v>165</v>
          </cell>
          <cell r="B172" t="str">
            <v>Merton</v>
          </cell>
          <cell r="C172" t="str">
            <v>E5044</v>
          </cell>
          <cell r="D172">
            <v>4407117.3099999996</v>
          </cell>
          <cell r="E172">
            <v>93193.84</v>
          </cell>
          <cell r="F172">
            <v>0</v>
          </cell>
          <cell r="G172">
            <v>0</v>
          </cell>
          <cell r="H172">
            <v>1042031.08</v>
          </cell>
          <cell r="I172">
            <v>104448.36</v>
          </cell>
          <cell r="J172">
            <v>59231.03</v>
          </cell>
          <cell r="K172">
            <v>44.66</v>
          </cell>
          <cell r="L172">
            <v>0</v>
          </cell>
          <cell r="M172">
            <v>0</v>
          </cell>
          <cell r="N172">
            <v>1418178.05</v>
          </cell>
          <cell r="O172">
            <v>2276707.34</v>
          </cell>
          <cell r="P172">
            <v>1.5</v>
          </cell>
          <cell r="Q172">
            <v>1.1113</v>
          </cell>
          <cell r="S172">
            <v>5356</v>
          </cell>
          <cell r="T172">
            <v>204646054</v>
          </cell>
          <cell r="U172">
            <v>1210670.25</v>
          </cell>
          <cell r="X172">
            <v>228</v>
          </cell>
          <cell r="Y172">
            <v>6</v>
          </cell>
          <cell r="Z172">
            <v>0</v>
          </cell>
          <cell r="AA172">
            <v>0</v>
          </cell>
          <cell r="AB172">
            <v>189</v>
          </cell>
          <cell r="AC172">
            <v>119</v>
          </cell>
          <cell r="AD172">
            <v>17</v>
          </cell>
          <cell r="AE172">
            <v>1</v>
          </cell>
          <cell r="AF172">
            <v>0</v>
          </cell>
          <cell r="AG172">
            <v>0</v>
          </cell>
          <cell r="AH172">
            <v>0</v>
          </cell>
          <cell r="AI172">
            <v>2122</v>
          </cell>
          <cell r="AJ172">
            <v>1157</v>
          </cell>
          <cell r="AK172">
            <v>443</v>
          </cell>
          <cell r="AL172">
            <v>714</v>
          </cell>
          <cell r="AM172">
            <v>2077</v>
          </cell>
        </row>
        <row r="173">
          <cell r="A173">
            <v>166</v>
          </cell>
          <cell r="B173" t="str">
            <v>Mid Devon</v>
          </cell>
          <cell r="C173" t="str">
            <v>E1133</v>
          </cell>
          <cell r="D173">
            <v>1013674.11</v>
          </cell>
          <cell r="E173">
            <v>31303.05</v>
          </cell>
          <cell r="F173">
            <v>32040.87</v>
          </cell>
          <cell r="G173">
            <v>0</v>
          </cell>
          <cell r="H173">
            <v>946756</v>
          </cell>
          <cell r="I173">
            <v>13597.62</v>
          </cell>
          <cell r="J173">
            <v>5684.71</v>
          </cell>
          <cell r="K173">
            <v>6290.04</v>
          </cell>
          <cell r="L173">
            <v>1788.97</v>
          </cell>
          <cell r="M173">
            <v>329.55</v>
          </cell>
          <cell r="N173">
            <v>278002.71000000002</v>
          </cell>
          <cell r="O173">
            <v>1492772</v>
          </cell>
          <cell r="P173">
            <v>0.9</v>
          </cell>
          <cell r="Q173">
            <v>1</v>
          </cell>
          <cell r="S173">
            <v>2701</v>
          </cell>
          <cell r="T173">
            <v>39546521</v>
          </cell>
          <cell r="U173">
            <v>143055.1035</v>
          </cell>
          <cell r="X173">
            <v>186</v>
          </cell>
          <cell r="Y173">
            <v>8</v>
          </cell>
          <cell r="Z173">
            <v>25</v>
          </cell>
          <cell r="AA173">
            <v>5</v>
          </cell>
          <cell r="AB173">
            <v>471</v>
          </cell>
          <cell r="AC173">
            <v>113</v>
          </cell>
          <cell r="AD173">
            <v>39</v>
          </cell>
          <cell r="AE173">
            <v>8</v>
          </cell>
          <cell r="AF173">
            <v>10</v>
          </cell>
          <cell r="AG173">
            <v>2</v>
          </cell>
          <cell r="AH173">
            <v>0</v>
          </cell>
          <cell r="AI173">
            <v>1234</v>
          </cell>
          <cell r="AJ173">
            <v>1030</v>
          </cell>
          <cell r="AK173">
            <v>710</v>
          </cell>
          <cell r="AL173">
            <v>320</v>
          </cell>
          <cell r="AM173">
            <v>409</v>
          </cell>
        </row>
        <row r="174">
          <cell r="A174">
            <v>167</v>
          </cell>
          <cell r="B174" t="str">
            <v>Mid Suffolk</v>
          </cell>
          <cell r="C174" t="str">
            <v>E3534</v>
          </cell>
          <cell r="D174">
            <v>772412.32</v>
          </cell>
          <cell r="E174">
            <v>33549.42</v>
          </cell>
          <cell r="F174">
            <v>88998.93</v>
          </cell>
          <cell r="G174">
            <v>0</v>
          </cell>
          <cell r="H174">
            <v>738034.15</v>
          </cell>
          <cell r="I174">
            <v>38033.74</v>
          </cell>
          <cell r="J174">
            <v>36760.239999999998</v>
          </cell>
          <cell r="K174">
            <v>1575.86</v>
          </cell>
          <cell r="L174">
            <v>66749.11</v>
          </cell>
          <cell r="M174">
            <v>63171.13</v>
          </cell>
          <cell r="N174">
            <v>386562.43</v>
          </cell>
          <cell r="O174">
            <v>1025590.82</v>
          </cell>
          <cell r="P174">
            <v>0.9</v>
          </cell>
          <cell r="Q174">
            <v>1.0054000000000001</v>
          </cell>
          <cell r="S174">
            <v>3188</v>
          </cell>
          <cell r="T174">
            <v>53555589</v>
          </cell>
          <cell r="U174">
            <v>201077.89</v>
          </cell>
          <cell r="X174">
            <v>225</v>
          </cell>
          <cell r="Y174">
            <v>8</v>
          </cell>
          <cell r="Z174">
            <v>77</v>
          </cell>
          <cell r="AA174">
            <v>0</v>
          </cell>
          <cell r="AB174">
            <v>355</v>
          </cell>
          <cell r="AC174">
            <v>214</v>
          </cell>
          <cell r="AD174">
            <v>35</v>
          </cell>
          <cell r="AE174">
            <v>7</v>
          </cell>
          <cell r="AF174">
            <v>77</v>
          </cell>
          <cell r="AG174">
            <v>25</v>
          </cell>
          <cell r="AH174">
            <v>0</v>
          </cell>
          <cell r="AI174">
            <v>2210</v>
          </cell>
          <cell r="AJ174">
            <v>905</v>
          </cell>
          <cell r="AK174">
            <v>690</v>
          </cell>
          <cell r="AL174">
            <v>215</v>
          </cell>
          <cell r="AM174">
            <v>62</v>
          </cell>
        </row>
        <row r="175">
          <cell r="A175">
            <v>168</v>
          </cell>
          <cell r="B175" t="str">
            <v>Mid Sussex</v>
          </cell>
          <cell r="C175" t="str">
            <v>E3836</v>
          </cell>
          <cell r="D175">
            <v>3495428.54</v>
          </cell>
          <cell r="E175">
            <v>45946.559999999998</v>
          </cell>
          <cell r="F175">
            <v>6520.77</v>
          </cell>
          <cell r="G175">
            <v>0</v>
          </cell>
          <cell r="H175">
            <v>401783.79</v>
          </cell>
          <cell r="I175">
            <v>18801.61</v>
          </cell>
          <cell r="J175">
            <v>65754.87</v>
          </cell>
          <cell r="K175">
            <v>246.18</v>
          </cell>
          <cell r="L175">
            <v>4890.59</v>
          </cell>
          <cell r="M175">
            <v>0</v>
          </cell>
          <cell r="N175">
            <v>712447.92</v>
          </cell>
          <cell r="O175">
            <v>1817985.67</v>
          </cell>
          <cell r="P175">
            <v>0.9</v>
          </cell>
          <cell r="Q175">
            <v>1</v>
          </cell>
          <cell r="S175">
            <v>3976</v>
          </cell>
          <cell r="T175">
            <v>105073507</v>
          </cell>
          <cell r="U175">
            <v>404286.3</v>
          </cell>
          <cell r="X175">
            <v>215</v>
          </cell>
          <cell r="Y175">
            <v>5</v>
          </cell>
          <cell r="Z175">
            <v>6</v>
          </cell>
          <cell r="AA175">
            <v>2</v>
          </cell>
          <cell r="AB175">
            <v>287</v>
          </cell>
          <cell r="AC175">
            <v>125</v>
          </cell>
          <cell r="AD175">
            <v>100</v>
          </cell>
          <cell r="AE175">
            <v>18</v>
          </cell>
          <cell r="AF175">
            <v>1</v>
          </cell>
          <cell r="AG175">
            <v>6</v>
          </cell>
          <cell r="AH175">
            <v>0</v>
          </cell>
          <cell r="AI175">
            <v>2817</v>
          </cell>
          <cell r="AJ175">
            <v>1002</v>
          </cell>
          <cell r="AK175">
            <v>594</v>
          </cell>
          <cell r="AL175">
            <v>408</v>
          </cell>
          <cell r="AM175">
            <v>148</v>
          </cell>
        </row>
        <row r="176">
          <cell r="A176">
            <v>169</v>
          </cell>
          <cell r="B176" t="str">
            <v>Middlesbrough</v>
          </cell>
          <cell r="C176" t="str">
            <v>E0702</v>
          </cell>
          <cell r="D176">
            <v>3735315.04</v>
          </cell>
          <cell r="E176">
            <v>30536.799999999999</v>
          </cell>
          <cell r="F176">
            <v>0</v>
          </cell>
          <cell r="G176">
            <v>0</v>
          </cell>
          <cell r="H176">
            <v>2685261</v>
          </cell>
          <cell r="I176">
            <v>1021.34</v>
          </cell>
          <cell r="J176">
            <v>14097.38</v>
          </cell>
          <cell r="K176">
            <v>382.5</v>
          </cell>
          <cell r="L176">
            <v>0</v>
          </cell>
          <cell r="M176">
            <v>0</v>
          </cell>
          <cell r="N176">
            <v>782820.94</v>
          </cell>
          <cell r="O176">
            <v>1853970</v>
          </cell>
          <cell r="P176">
            <v>1.3</v>
          </cell>
          <cell r="Q176">
            <v>1</v>
          </cell>
          <cell r="S176">
            <v>4126</v>
          </cell>
          <cell r="T176">
            <v>111851478</v>
          </cell>
          <cell r="U176">
            <v>446857.33</v>
          </cell>
          <cell r="X176">
            <v>179</v>
          </cell>
          <cell r="Y176">
            <v>5</v>
          </cell>
          <cell r="Z176">
            <v>0</v>
          </cell>
          <cell r="AA176">
            <v>0</v>
          </cell>
          <cell r="AB176">
            <v>725</v>
          </cell>
          <cell r="AC176">
            <v>4</v>
          </cell>
          <cell r="AD176">
            <v>2</v>
          </cell>
          <cell r="AE176">
            <v>2</v>
          </cell>
          <cell r="AF176">
            <v>0</v>
          </cell>
          <cell r="AG176">
            <v>0</v>
          </cell>
          <cell r="AH176">
            <v>0</v>
          </cell>
          <cell r="AI176">
            <v>2946</v>
          </cell>
          <cell r="AJ176">
            <v>1065</v>
          </cell>
          <cell r="AK176">
            <v>780</v>
          </cell>
          <cell r="AL176">
            <v>285</v>
          </cell>
          <cell r="AM176">
            <v>118</v>
          </cell>
        </row>
        <row r="177">
          <cell r="A177">
            <v>170</v>
          </cell>
          <cell r="B177" t="str">
            <v>Milton Keynes</v>
          </cell>
          <cell r="C177" t="str">
            <v>E0401</v>
          </cell>
          <cell r="D177">
            <v>6447260</v>
          </cell>
          <cell r="E177">
            <v>37196</v>
          </cell>
          <cell r="F177">
            <v>11679</v>
          </cell>
          <cell r="G177">
            <v>246209</v>
          </cell>
          <cell r="H177">
            <v>6989690</v>
          </cell>
          <cell r="I177">
            <v>116072</v>
          </cell>
          <cell r="J177">
            <v>130284</v>
          </cell>
          <cell r="K177">
            <v>0</v>
          </cell>
          <cell r="L177">
            <v>0</v>
          </cell>
          <cell r="M177">
            <v>0</v>
          </cell>
          <cell r="N177">
            <v>2604581</v>
          </cell>
          <cell r="O177">
            <v>2532234</v>
          </cell>
          <cell r="P177">
            <v>1.3</v>
          </cell>
          <cell r="Q177">
            <v>1.0674999999999999</v>
          </cell>
          <cell r="S177">
            <v>6777</v>
          </cell>
          <cell r="T177">
            <v>351614753</v>
          </cell>
          <cell r="U177">
            <v>1518882.97</v>
          </cell>
          <cell r="X177">
            <v>346</v>
          </cell>
          <cell r="Y177">
            <v>16</v>
          </cell>
          <cell r="Z177">
            <v>10</v>
          </cell>
          <cell r="AA177">
            <v>0</v>
          </cell>
          <cell r="AB177">
            <v>973</v>
          </cell>
          <cell r="AC177">
            <v>224</v>
          </cell>
          <cell r="AD177">
            <v>28</v>
          </cell>
          <cell r="AE177">
            <v>0</v>
          </cell>
          <cell r="AF177">
            <v>0</v>
          </cell>
          <cell r="AG177">
            <v>0</v>
          </cell>
          <cell r="AH177">
            <v>0</v>
          </cell>
          <cell r="AI177">
            <v>5160</v>
          </cell>
          <cell r="AJ177">
            <v>1397</v>
          </cell>
          <cell r="AK177">
            <v>764</v>
          </cell>
          <cell r="AL177">
            <v>633</v>
          </cell>
          <cell r="AM177">
            <v>176</v>
          </cell>
        </row>
        <row r="178">
          <cell r="A178">
            <v>171</v>
          </cell>
          <cell r="B178" t="str">
            <v>Mole Valley</v>
          </cell>
          <cell r="C178" t="str">
            <v>E3634</v>
          </cell>
          <cell r="D178">
            <v>1664965.91</v>
          </cell>
          <cell r="E178">
            <v>25133.21</v>
          </cell>
          <cell r="F178">
            <v>8976.7999999999993</v>
          </cell>
          <cell r="G178">
            <v>0</v>
          </cell>
          <cell r="H178">
            <v>1171765.51</v>
          </cell>
          <cell r="I178">
            <v>18532.830000000002</v>
          </cell>
          <cell r="J178">
            <v>37878.29</v>
          </cell>
          <cell r="K178">
            <v>504.26</v>
          </cell>
          <cell r="L178">
            <v>5787.98</v>
          </cell>
          <cell r="M178">
            <v>17720.18</v>
          </cell>
          <cell r="N178">
            <v>626789.12</v>
          </cell>
          <cell r="O178">
            <v>1369340.65</v>
          </cell>
          <cell r="P178">
            <v>0.9</v>
          </cell>
          <cell r="Q178">
            <v>1.1039000000000001</v>
          </cell>
          <cell r="S178">
            <v>3142</v>
          </cell>
          <cell r="T178">
            <v>91023997</v>
          </cell>
          <cell r="U178">
            <v>352294.07</v>
          </cell>
          <cell r="X178">
            <v>198</v>
          </cell>
          <cell r="Y178">
            <v>13</v>
          </cell>
          <cell r="Z178">
            <v>8</v>
          </cell>
          <cell r="AA178">
            <v>0</v>
          </cell>
          <cell r="AB178">
            <v>377</v>
          </cell>
          <cell r="AC178">
            <v>77</v>
          </cell>
          <cell r="AD178">
            <v>36</v>
          </cell>
          <cell r="AE178">
            <v>11</v>
          </cell>
          <cell r="AF178">
            <v>9</v>
          </cell>
          <cell r="AG178">
            <v>1</v>
          </cell>
          <cell r="AH178">
            <v>0</v>
          </cell>
          <cell r="AI178">
            <v>2282</v>
          </cell>
          <cell r="AJ178">
            <v>770</v>
          </cell>
          <cell r="AK178">
            <v>428</v>
          </cell>
          <cell r="AL178">
            <v>342</v>
          </cell>
          <cell r="AM178">
            <v>88</v>
          </cell>
        </row>
        <row r="179">
          <cell r="A179">
            <v>172</v>
          </cell>
          <cell r="B179" t="str">
            <v>New Forest</v>
          </cell>
          <cell r="C179" t="str">
            <v>E1738</v>
          </cell>
          <cell r="D179">
            <v>2769492.43</v>
          </cell>
          <cell r="E179">
            <v>121012.76</v>
          </cell>
          <cell r="F179">
            <v>14401.77</v>
          </cell>
          <cell r="G179">
            <v>519.54999999999995</v>
          </cell>
          <cell r="H179">
            <v>1227440.58</v>
          </cell>
          <cell r="I179">
            <v>22208.49</v>
          </cell>
          <cell r="J179">
            <v>57531.839999999997</v>
          </cell>
          <cell r="K179">
            <v>0</v>
          </cell>
          <cell r="L179">
            <v>3031.59</v>
          </cell>
          <cell r="M179">
            <v>0</v>
          </cell>
          <cell r="N179">
            <v>1073369.6599999999</v>
          </cell>
          <cell r="O179">
            <v>3481872.41</v>
          </cell>
          <cell r="P179">
            <v>0.9</v>
          </cell>
          <cell r="Q179">
            <v>1.036</v>
          </cell>
          <cell r="S179">
            <v>6484</v>
          </cell>
          <cell r="T179">
            <v>158177353</v>
          </cell>
          <cell r="U179">
            <v>590773.65</v>
          </cell>
          <cell r="X179">
            <v>296</v>
          </cell>
          <cell r="Y179">
            <v>21</v>
          </cell>
          <cell r="Z179">
            <v>11</v>
          </cell>
          <cell r="AA179">
            <v>4</v>
          </cell>
          <cell r="AB179">
            <v>372</v>
          </cell>
          <cell r="AC179">
            <v>136</v>
          </cell>
          <cell r="AD179">
            <v>45</v>
          </cell>
          <cell r="AE179">
            <v>0</v>
          </cell>
          <cell r="AF179">
            <v>8</v>
          </cell>
          <cell r="AG179">
            <v>0</v>
          </cell>
          <cell r="AH179">
            <v>0</v>
          </cell>
          <cell r="AI179">
            <v>3585</v>
          </cell>
          <cell r="AJ179">
            <v>2615</v>
          </cell>
          <cell r="AK179">
            <v>1810</v>
          </cell>
          <cell r="AL179">
            <v>805</v>
          </cell>
          <cell r="AM179">
            <v>219</v>
          </cell>
        </row>
        <row r="180">
          <cell r="A180">
            <v>173</v>
          </cell>
          <cell r="B180" t="str">
            <v>Newark and Sherwood</v>
          </cell>
          <cell r="C180" t="str">
            <v>E3036</v>
          </cell>
          <cell r="D180">
            <v>1145468.3999999999</v>
          </cell>
          <cell r="E180">
            <v>70666.28</v>
          </cell>
          <cell r="F180">
            <v>24366.14</v>
          </cell>
          <cell r="G180">
            <v>1889.1</v>
          </cell>
          <cell r="H180">
            <v>797583.35999999999</v>
          </cell>
          <cell r="I180">
            <v>12575.41</v>
          </cell>
          <cell r="J180">
            <v>32984.620000000003</v>
          </cell>
          <cell r="K180">
            <v>0</v>
          </cell>
          <cell r="L180">
            <v>2742.84</v>
          </cell>
          <cell r="M180">
            <v>0</v>
          </cell>
          <cell r="N180">
            <v>629030.16</v>
          </cell>
          <cell r="O180">
            <v>1904930.52</v>
          </cell>
          <cell r="P180">
            <v>0.9</v>
          </cell>
          <cell r="Q180">
            <v>1.0121</v>
          </cell>
          <cell r="S180">
            <v>3812</v>
          </cell>
          <cell r="T180">
            <v>92899175</v>
          </cell>
          <cell r="U180">
            <v>375136.05</v>
          </cell>
          <cell r="X180">
            <v>203</v>
          </cell>
          <cell r="Y180">
            <v>16</v>
          </cell>
          <cell r="Z180">
            <v>26</v>
          </cell>
          <cell r="AA180">
            <v>1</v>
          </cell>
          <cell r="AB180">
            <v>359</v>
          </cell>
          <cell r="AC180">
            <v>90</v>
          </cell>
          <cell r="AD180">
            <v>30</v>
          </cell>
          <cell r="AE180">
            <v>0</v>
          </cell>
          <cell r="AF180">
            <v>6</v>
          </cell>
          <cell r="AG180">
            <v>0</v>
          </cell>
          <cell r="AH180">
            <v>0</v>
          </cell>
          <cell r="AI180">
            <v>2440</v>
          </cell>
          <cell r="AJ180">
            <v>1191</v>
          </cell>
          <cell r="AK180">
            <v>868</v>
          </cell>
          <cell r="AL180">
            <v>323</v>
          </cell>
          <cell r="AM180">
            <v>70</v>
          </cell>
        </row>
        <row r="181">
          <cell r="A181">
            <v>174</v>
          </cell>
          <cell r="B181" t="str">
            <v>Newcastle-upon-Tyne</v>
          </cell>
          <cell r="C181" t="str">
            <v>E4502</v>
          </cell>
          <cell r="D181">
            <v>11603567.07</v>
          </cell>
          <cell r="E181">
            <v>109863.2</v>
          </cell>
          <cell r="F181">
            <v>2049.5500000000002</v>
          </cell>
          <cell r="G181">
            <v>0</v>
          </cell>
          <cell r="H181">
            <v>8259168.2300000004</v>
          </cell>
          <cell r="I181">
            <v>230571.89599999998</v>
          </cell>
          <cell r="J181">
            <v>15090.05</v>
          </cell>
          <cell r="K181">
            <v>0</v>
          </cell>
          <cell r="L181">
            <v>0</v>
          </cell>
          <cell r="M181">
            <v>0</v>
          </cell>
          <cell r="N181">
            <v>2898192.46</v>
          </cell>
          <cell r="O181">
            <v>2755079.59</v>
          </cell>
          <cell r="P181">
            <v>1.7</v>
          </cell>
          <cell r="Q181">
            <v>1</v>
          </cell>
          <cell r="S181">
            <v>9663</v>
          </cell>
          <cell r="T181">
            <v>386647984</v>
          </cell>
          <cell r="U181">
            <v>2047416.48</v>
          </cell>
          <cell r="X181">
            <v>555</v>
          </cell>
          <cell r="Y181">
            <v>19</v>
          </cell>
          <cell r="Z181">
            <v>2</v>
          </cell>
          <cell r="AA181">
            <v>0</v>
          </cell>
          <cell r="AB181">
            <v>1014</v>
          </cell>
          <cell r="AC181">
            <v>49</v>
          </cell>
          <cell r="AD181">
            <v>19</v>
          </cell>
          <cell r="AE181">
            <v>0</v>
          </cell>
          <cell r="AF181">
            <v>2</v>
          </cell>
          <cell r="AG181">
            <v>0</v>
          </cell>
          <cell r="AH181">
            <v>0</v>
          </cell>
          <cell r="AI181">
            <v>7245</v>
          </cell>
          <cell r="AJ181">
            <v>2206</v>
          </cell>
          <cell r="AK181">
            <v>1459</v>
          </cell>
          <cell r="AL181">
            <v>747</v>
          </cell>
          <cell r="AM181">
            <v>163</v>
          </cell>
        </row>
        <row r="182">
          <cell r="A182">
            <v>175</v>
          </cell>
          <cell r="B182" t="str">
            <v>Newcastle-under-Lyme</v>
          </cell>
          <cell r="C182" t="str">
            <v>E3434</v>
          </cell>
          <cell r="D182">
            <v>2152534.94</v>
          </cell>
          <cell r="E182">
            <v>13721.68</v>
          </cell>
          <cell r="F182">
            <v>17228.8</v>
          </cell>
          <cell r="G182">
            <v>95040</v>
          </cell>
          <cell r="H182">
            <v>949373.4</v>
          </cell>
          <cell r="I182">
            <v>5679.81</v>
          </cell>
          <cell r="J182">
            <v>52863.05</v>
          </cell>
          <cell r="K182">
            <v>0</v>
          </cell>
          <cell r="L182">
            <v>0</v>
          </cell>
          <cell r="M182">
            <v>0</v>
          </cell>
          <cell r="N182">
            <v>673961.91</v>
          </cell>
          <cell r="O182">
            <v>1681709.7</v>
          </cell>
          <cell r="P182">
            <v>0.9</v>
          </cell>
          <cell r="Q182">
            <v>1</v>
          </cell>
          <cell r="S182">
            <v>3300</v>
          </cell>
          <cell r="T182">
            <v>83842476</v>
          </cell>
          <cell r="U182">
            <v>319046.53000000003</v>
          </cell>
          <cell r="X182">
            <v>104</v>
          </cell>
          <cell r="Y182">
            <v>2</v>
          </cell>
          <cell r="Z182">
            <v>13</v>
          </cell>
          <cell r="AA182">
            <v>0</v>
          </cell>
          <cell r="AB182">
            <v>356</v>
          </cell>
          <cell r="AC182">
            <v>47</v>
          </cell>
          <cell r="AD182">
            <v>34</v>
          </cell>
          <cell r="AE182">
            <v>0</v>
          </cell>
          <cell r="AF182">
            <v>0</v>
          </cell>
          <cell r="AG182">
            <v>0</v>
          </cell>
          <cell r="AH182">
            <v>0</v>
          </cell>
          <cell r="AI182">
            <v>2318</v>
          </cell>
          <cell r="AJ182">
            <v>988</v>
          </cell>
          <cell r="AK182">
            <v>660</v>
          </cell>
          <cell r="AL182">
            <v>328</v>
          </cell>
          <cell r="AM182">
            <v>81</v>
          </cell>
        </row>
        <row r="183">
          <cell r="A183">
            <v>176</v>
          </cell>
          <cell r="B183" t="str">
            <v>Newham</v>
          </cell>
          <cell r="C183" t="str">
            <v>E5045</v>
          </cell>
          <cell r="D183">
            <v>6453062.2700000005</v>
          </cell>
          <cell r="E183">
            <v>0</v>
          </cell>
          <cell r="F183">
            <v>0</v>
          </cell>
          <cell r="G183">
            <v>0</v>
          </cell>
          <cell r="H183">
            <v>5523115.4500000002</v>
          </cell>
          <cell r="I183">
            <v>0</v>
          </cell>
          <cell r="J183">
            <v>0</v>
          </cell>
          <cell r="K183">
            <v>0</v>
          </cell>
          <cell r="L183">
            <v>0</v>
          </cell>
          <cell r="M183">
            <v>0</v>
          </cell>
          <cell r="N183">
            <v>2114678.54</v>
          </cell>
          <cell r="O183">
            <v>3145351.39</v>
          </cell>
          <cell r="P183">
            <v>1.5</v>
          </cell>
          <cell r="Q183">
            <v>1.0760000000000001</v>
          </cell>
          <cell r="S183">
            <v>7005</v>
          </cell>
          <cell r="T183">
            <v>357730619</v>
          </cell>
          <cell r="U183">
            <v>1711227.16</v>
          </cell>
          <cell r="X183">
            <v>303</v>
          </cell>
          <cell r="Y183">
            <v>0</v>
          </cell>
          <cell r="Z183">
            <v>0</v>
          </cell>
          <cell r="AA183">
            <v>2</v>
          </cell>
          <cell r="AB183">
            <v>609</v>
          </cell>
          <cell r="AC183">
            <v>0</v>
          </cell>
          <cell r="AD183">
            <v>0</v>
          </cell>
          <cell r="AE183">
            <v>0</v>
          </cell>
          <cell r="AF183">
            <v>0</v>
          </cell>
          <cell r="AG183">
            <v>0</v>
          </cell>
          <cell r="AH183">
            <v>0</v>
          </cell>
          <cell r="AI183">
            <v>4897</v>
          </cell>
          <cell r="AJ183">
            <v>1754</v>
          </cell>
          <cell r="AK183">
            <v>668</v>
          </cell>
          <cell r="AL183">
            <v>1086</v>
          </cell>
          <cell r="AM183">
            <v>294</v>
          </cell>
        </row>
        <row r="184">
          <cell r="A184">
            <v>177</v>
          </cell>
          <cell r="B184" t="str">
            <v>North Devon</v>
          </cell>
          <cell r="C184" t="str">
            <v>E1134</v>
          </cell>
          <cell r="D184">
            <v>1528478.14</v>
          </cell>
          <cell r="E184">
            <v>85504.84</v>
          </cell>
          <cell r="F184">
            <v>38498.639999999999</v>
          </cell>
          <cell r="G184">
            <v>0</v>
          </cell>
          <cell r="H184">
            <v>474353.22</v>
          </cell>
          <cell r="I184">
            <v>26253.63</v>
          </cell>
          <cell r="J184">
            <v>63500.72</v>
          </cell>
          <cell r="K184">
            <v>2209.77</v>
          </cell>
          <cell r="L184">
            <v>11222.33</v>
          </cell>
          <cell r="M184">
            <v>5789.95</v>
          </cell>
          <cell r="N184">
            <v>489313.32</v>
          </cell>
          <cell r="O184">
            <v>3098073.05</v>
          </cell>
          <cell r="P184">
            <v>0.9</v>
          </cell>
          <cell r="Q184">
            <v>1</v>
          </cell>
          <cell r="S184">
            <v>5045</v>
          </cell>
          <cell r="T184">
            <v>84700967</v>
          </cell>
          <cell r="U184">
            <v>303192.65000000002</v>
          </cell>
          <cell r="X184">
            <v>267</v>
          </cell>
          <cell r="Y184">
            <v>40</v>
          </cell>
          <cell r="Z184">
            <v>34</v>
          </cell>
          <cell r="AA184">
            <v>0</v>
          </cell>
          <cell r="AB184">
            <v>166</v>
          </cell>
          <cell r="AC184">
            <v>154</v>
          </cell>
          <cell r="AD184">
            <v>12</v>
          </cell>
          <cell r="AE184">
            <v>40</v>
          </cell>
          <cell r="AF184">
            <v>18</v>
          </cell>
          <cell r="AG184">
            <v>6</v>
          </cell>
          <cell r="AH184">
            <v>0</v>
          </cell>
          <cell r="AI184">
            <v>2947</v>
          </cell>
          <cell r="AJ184">
            <v>1889</v>
          </cell>
          <cell r="AK184">
            <v>1387</v>
          </cell>
          <cell r="AL184">
            <v>502</v>
          </cell>
          <cell r="AM184">
            <v>126</v>
          </cell>
        </row>
        <row r="185">
          <cell r="A185">
            <v>178</v>
          </cell>
          <cell r="B185" t="str">
            <v>North Dorset</v>
          </cell>
          <cell r="C185" t="str">
            <v>E1234</v>
          </cell>
          <cell r="D185">
            <v>3373141.37</v>
          </cell>
          <cell r="E185">
            <v>0</v>
          </cell>
          <cell r="F185">
            <v>40941.910000000003</v>
          </cell>
          <cell r="G185">
            <v>0</v>
          </cell>
          <cell r="H185">
            <v>294003.56</v>
          </cell>
          <cell r="I185">
            <v>6620.59</v>
          </cell>
          <cell r="J185">
            <v>0</v>
          </cell>
          <cell r="K185">
            <v>0</v>
          </cell>
          <cell r="L185">
            <v>5777.32</v>
          </cell>
          <cell r="M185">
            <v>6105.45</v>
          </cell>
          <cell r="N185">
            <v>227126.14</v>
          </cell>
          <cell r="O185">
            <v>1469665.29</v>
          </cell>
          <cell r="P185">
            <v>0.9</v>
          </cell>
          <cell r="Q185">
            <v>1</v>
          </cell>
          <cell r="R185" t="str">
            <v>y</v>
          </cell>
          <cell r="S185">
            <v>2287</v>
          </cell>
          <cell r="T185">
            <v>38522910</v>
          </cell>
          <cell r="U185">
            <v>115441.72</v>
          </cell>
          <cell r="X185">
            <v>213</v>
          </cell>
          <cell r="Y185">
            <v>0</v>
          </cell>
          <cell r="Z185">
            <v>25</v>
          </cell>
          <cell r="AA185">
            <v>0</v>
          </cell>
          <cell r="AB185">
            <v>207</v>
          </cell>
          <cell r="AC185">
            <v>54</v>
          </cell>
          <cell r="AD185">
            <v>7</v>
          </cell>
          <cell r="AE185">
            <v>0</v>
          </cell>
          <cell r="AF185">
            <v>8</v>
          </cell>
          <cell r="AG185">
            <v>0</v>
          </cell>
          <cell r="AH185">
            <v>0</v>
          </cell>
          <cell r="AI185">
            <v>1335</v>
          </cell>
          <cell r="AJ185">
            <v>820</v>
          </cell>
          <cell r="AK185">
            <v>545</v>
          </cell>
          <cell r="AL185">
            <v>275</v>
          </cell>
          <cell r="AM185">
            <v>51</v>
          </cell>
        </row>
        <row r="186">
          <cell r="A186">
            <v>179</v>
          </cell>
          <cell r="B186" t="str">
            <v>North East Derbyshire</v>
          </cell>
          <cell r="C186" t="str">
            <v>E1038</v>
          </cell>
          <cell r="D186">
            <v>377345.55</v>
          </cell>
          <cell r="E186">
            <v>9782.8799999999992</v>
          </cell>
          <cell r="F186">
            <v>6337.56</v>
          </cell>
          <cell r="G186">
            <v>1823.43</v>
          </cell>
          <cell r="H186">
            <v>586370.23</v>
          </cell>
          <cell r="I186">
            <v>4850.58</v>
          </cell>
          <cell r="J186">
            <v>9337.2199999999993</v>
          </cell>
          <cell r="K186">
            <v>52.67</v>
          </cell>
          <cell r="L186">
            <v>880.22</v>
          </cell>
          <cell r="M186">
            <v>0</v>
          </cell>
          <cell r="N186">
            <v>236044.48</v>
          </cell>
          <cell r="O186">
            <v>1336220.76</v>
          </cell>
          <cell r="P186">
            <v>0.9</v>
          </cell>
          <cell r="Q186">
            <v>1</v>
          </cell>
          <cell r="S186">
            <v>2449</v>
          </cell>
          <cell r="T186">
            <v>38965107</v>
          </cell>
          <cell r="U186">
            <v>143674.85999999999</v>
          </cell>
          <cell r="X186">
            <v>88</v>
          </cell>
          <cell r="Y186">
            <v>4</v>
          </cell>
          <cell r="Z186">
            <v>8</v>
          </cell>
          <cell r="AA186">
            <v>3</v>
          </cell>
          <cell r="AB186">
            <v>140</v>
          </cell>
          <cell r="AC186">
            <v>22</v>
          </cell>
          <cell r="AD186">
            <v>14</v>
          </cell>
          <cell r="AE186">
            <v>1</v>
          </cell>
          <cell r="AF186">
            <v>2</v>
          </cell>
          <cell r="AG186">
            <v>0</v>
          </cell>
          <cell r="AH186">
            <v>0</v>
          </cell>
          <cell r="AI186">
            <v>1544</v>
          </cell>
          <cell r="AJ186">
            <v>889</v>
          </cell>
          <cell r="AK186">
            <v>685</v>
          </cell>
          <cell r="AL186">
            <v>204</v>
          </cell>
          <cell r="AM186">
            <v>53</v>
          </cell>
        </row>
        <row r="187">
          <cell r="A187">
            <v>180</v>
          </cell>
          <cell r="B187" t="str">
            <v>North East Lincolnshire</v>
          </cell>
          <cell r="C187" t="str">
            <v>E2003</v>
          </cell>
          <cell r="D187">
            <v>2372444.04</v>
          </cell>
          <cell r="E187">
            <v>85627.56</v>
          </cell>
          <cell r="F187">
            <v>549.6</v>
          </cell>
          <cell r="G187">
            <v>0</v>
          </cell>
          <cell r="H187">
            <v>2223046.16</v>
          </cell>
          <cell r="I187">
            <v>115027.37</v>
          </cell>
          <cell r="J187">
            <v>74760.7</v>
          </cell>
          <cell r="K187">
            <v>3852.93</v>
          </cell>
          <cell r="L187">
            <v>549.6</v>
          </cell>
          <cell r="M187">
            <v>0</v>
          </cell>
          <cell r="N187">
            <v>1172069.1599999999</v>
          </cell>
          <cell r="O187">
            <v>2560414.7200000002</v>
          </cell>
          <cell r="P187">
            <v>1.3</v>
          </cell>
          <cell r="Q187">
            <v>1</v>
          </cell>
          <cell r="S187">
            <v>5411</v>
          </cell>
          <cell r="T187">
            <v>164183481</v>
          </cell>
          <cell r="U187">
            <v>694902.52</v>
          </cell>
          <cell r="X187">
            <v>188</v>
          </cell>
          <cell r="Y187">
            <v>12</v>
          </cell>
          <cell r="Z187">
            <v>2</v>
          </cell>
          <cell r="AA187">
            <v>1</v>
          </cell>
          <cell r="AB187">
            <v>924</v>
          </cell>
          <cell r="AC187">
            <v>77</v>
          </cell>
          <cell r="AD187">
            <v>29</v>
          </cell>
          <cell r="AE187">
            <v>2</v>
          </cell>
          <cell r="AF187">
            <v>2</v>
          </cell>
          <cell r="AG187">
            <v>0</v>
          </cell>
          <cell r="AH187">
            <v>0</v>
          </cell>
          <cell r="AI187">
            <v>2084</v>
          </cell>
          <cell r="AJ187">
            <v>1624</v>
          </cell>
          <cell r="AK187">
            <v>1254</v>
          </cell>
          <cell r="AL187">
            <v>370</v>
          </cell>
          <cell r="AM187">
            <v>1707</v>
          </cell>
        </row>
        <row r="188">
          <cell r="A188">
            <v>181</v>
          </cell>
          <cell r="B188" t="str">
            <v>North Hertfordshire</v>
          </cell>
          <cell r="C188" t="str">
            <v>E1935</v>
          </cell>
          <cell r="D188">
            <v>2285938.2799999998</v>
          </cell>
          <cell r="E188">
            <v>118946.75</v>
          </cell>
          <cell r="F188">
            <v>12459.35</v>
          </cell>
          <cell r="G188">
            <v>-69.680000000000007</v>
          </cell>
          <cell r="H188">
            <v>1535264.69</v>
          </cell>
          <cell r="I188">
            <v>41562.58</v>
          </cell>
          <cell r="J188">
            <v>71805.100000000006</v>
          </cell>
          <cell r="K188">
            <v>3422.26</v>
          </cell>
          <cell r="L188">
            <v>2409.3000000000002</v>
          </cell>
          <cell r="M188">
            <v>7913.49</v>
          </cell>
          <cell r="N188">
            <v>628122.27</v>
          </cell>
          <cell r="O188">
            <v>1999164.26</v>
          </cell>
          <cell r="P188">
            <v>0.9</v>
          </cell>
          <cell r="Q188">
            <v>1.0392999999999999</v>
          </cell>
          <cell r="R188" t="str">
            <v>y</v>
          </cell>
          <cell r="S188">
            <v>4137</v>
          </cell>
          <cell r="T188">
            <v>98639487</v>
          </cell>
          <cell r="U188">
            <v>410975.06</v>
          </cell>
          <cell r="X188">
            <v>207</v>
          </cell>
          <cell r="Y188">
            <v>10</v>
          </cell>
          <cell r="Z188">
            <v>16</v>
          </cell>
          <cell r="AA188">
            <v>0</v>
          </cell>
          <cell r="AB188">
            <v>516</v>
          </cell>
          <cell r="AC188">
            <v>72</v>
          </cell>
          <cell r="AD188">
            <v>28</v>
          </cell>
          <cell r="AE188">
            <v>5</v>
          </cell>
          <cell r="AF188">
            <v>7</v>
          </cell>
          <cell r="AG188">
            <v>4</v>
          </cell>
          <cell r="AH188">
            <v>0</v>
          </cell>
          <cell r="AI188">
            <v>2900</v>
          </cell>
          <cell r="AJ188">
            <v>1028</v>
          </cell>
          <cell r="AK188">
            <v>544</v>
          </cell>
          <cell r="AL188">
            <v>484</v>
          </cell>
          <cell r="AM188">
            <v>186</v>
          </cell>
        </row>
        <row r="189">
          <cell r="A189">
            <v>182</v>
          </cell>
          <cell r="B189" t="str">
            <v>North Kesteven</v>
          </cell>
          <cell r="C189" t="str">
            <v>E2534</v>
          </cell>
          <cell r="D189">
            <v>1302796.42</v>
          </cell>
          <cell r="E189">
            <v>42007.76</v>
          </cell>
          <cell r="F189">
            <v>48400.35</v>
          </cell>
          <cell r="G189">
            <v>25000</v>
          </cell>
          <cell r="H189">
            <v>308973</v>
          </cell>
          <cell r="I189">
            <v>14379.49</v>
          </cell>
          <cell r="J189">
            <v>9931.4599999999991</v>
          </cell>
          <cell r="K189">
            <v>0</v>
          </cell>
          <cell r="L189">
            <v>6733.32</v>
          </cell>
          <cell r="M189">
            <v>45.75</v>
          </cell>
          <cell r="N189">
            <v>137567.42000000001</v>
          </cell>
          <cell r="O189">
            <v>1820278.07</v>
          </cell>
          <cell r="P189">
            <v>0.9</v>
          </cell>
          <cell r="Q189">
            <v>1</v>
          </cell>
          <cell r="S189">
            <v>3007</v>
          </cell>
          <cell r="T189">
            <v>57577230</v>
          </cell>
          <cell r="U189">
            <v>212250.72</v>
          </cell>
          <cell r="X189">
            <v>176</v>
          </cell>
          <cell r="Y189">
            <v>5</v>
          </cell>
          <cell r="Z189">
            <v>43</v>
          </cell>
          <cell r="AA189">
            <v>1</v>
          </cell>
          <cell r="AB189">
            <v>202</v>
          </cell>
          <cell r="AC189">
            <v>114</v>
          </cell>
          <cell r="AD189">
            <v>10</v>
          </cell>
          <cell r="AE189">
            <v>0</v>
          </cell>
          <cell r="AF189">
            <v>12</v>
          </cell>
          <cell r="AG189">
            <v>0</v>
          </cell>
          <cell r="AH189">
            <v>0</v>
          </cell>
          <cell r="AI189">
            <v>1009</v>
          </cell>
          <cell r="AJ189">
            <v>1976</v>
          </cell>
          <cell r="AK189">
            <v>833</v>
          </cell>
          <cell r="AL189">
            <v>1143</v>
          </cell>
          <cell r="AM189">
            <v>67</v>
          </cell>
        </row>
        <row r="190">
          <cell r="A190">
            <v>183</v>
          </cell>
          <cell r="B190" t="str">
            <v>North Lincolnshire</v>
          </cell>
          <cell r="C190" t="str">
            <v>E2004</v>
          </cell>
          <cell r="D190">
            <v>1279099</v>
          </cell>
          <cell r="E190">
            <v>29577.64</v>
          </cell>
          <cell r="F190">
            <v>31705.759999999998</v>
          </cell>
          <cell r="G190">
            <v>500000</v>
          </cell>
          <cell r="H190">
            <v>3385414</v>
          </cell>
          <cell r="I190">
            <v>15572.16</v>
          </cell>
          <cell r="J190">
            <v>83816.3</v>
          </cell>
          <cell r="K190">
            <v>726.5</v>
          </cell>
          <cell r="L190">
            <v>22408.55</v>
          </cell>
          <cell r="M190">
            <v>3108.99</v>
          </cell>
          <cell r="N190">
            <v>1538924.81</v>
          </cell>
          <cell r="O190">
            <v>2699779.76</v>
          </cell>
          <cell r="P190">
            <v>1.3</v>
          </cell>
          <cell r="Q190">
            <v>1</v>
          </cell>
          <cell r="S190">
            <v>5382</v>
          </cell>
          <cell r="T190">
            <v>212041092</v>
          </cell>
          <cell r="U190">
            <v>867295.43</v>
          </cell>
          <cell r="X190">
            <v>195</v>
          </cell>
          <cell r="Y190">
            <v>8</v>
          </cell>
          <cell r="Z190">
            <v>33</v>
          </cell>
          <cell r="AA190">
            <v>1</v>
          </cell>
          <cell r="AB190">
            <v>704</v>
          </cell>
          <cell r="AC190">
            <v>107</v>
          </cell>
          <cell r="AD190">
            <v>96</v>
          </cell>
          <cell r="AE190">
            <v>7</v>
          </cell>
          <cell r="AF190">
            <v>33</v>
          </cell>
          <cell r="AG190">
            <v>6</v>
          </cell>
          <cell r="AH190">
            <v>0</v>
          </cell>
          <cell r="AI190">
            <v>3329</v>
          </cell>
          <cell r="AJ190">
            <v>1711</v>
          </cell>
          <cell r="AK190">
            <v>1268</v>
          </cell>
          <cell r="AL190">
            <v>443</v>
          </cell>
          <cell r="AM190">
            <v>76</v>
          </cell>
        </row>
        <row r="191">
          <cell r="A191">
            <v>184</v>
          </cell>
          <cell r="B191" t="str">
            <v>North Norfolk</v>
          </cell>
          <cell r="C191" t="str">
            <v>E2635</v>
          </cell>
          <cell r="D191">
            <v>1147105.78</v>
          </cell>
          <cell r="E191">
            <v>56484.14</v>
          </cell>
          <cell r="F191">
            <v>89306.63</v>
          </cell>
          <cell r="G191">
            <v>150</v>
          </cell>
          <cell r="H191">
            <v>619348.14</v>
          </cell>
          <cell r="I191">
            <v>4417.3100000000004</v>
          </cell>
          <cell r="J191">
            <v>139588.57</v>
          </cell>
          <cell r="K191">
            <v>0</v>
          </cell>
          <cell r="L191">
            <v>6274.42</v>
          </cell>
          <cell r="M191">
            <v>3789.69</v>
          </cell>
          <cell r="N191">
            <v>351687.98</v>
          </cell>
          <cell r="O191">
            <v>3211814.83</v>
          </cell>
          <cell r="P191">
            <v>0.9</v>
          </cell>
          <cell r="Q191">
            <v>1</v>
          </cell>
          <cell r="S191">
            <v>6046</v>
          </cell>
          <cell r="T191">
            <v>64179197</v>
          </cell>
          <cell r="U191">
            <v>220969.57</v>
          </cell>
          <cell r="X191">
            <v>321</v>
          </cell>
          <cell r="Y191">
            <v>31</v>
          </cell>
          <cell r="Z191">
            <v>72</v>
          </cell>
          <cell r="AA191">
            <v>1</v>
          </cell>
          <cell r="AB191">
            <v>265</v>
          </cell>
          <cell r="AC191">
            <v>40</v>
          </cell>
          <cell r="AD191">
            <v>26</v>
          </cell>
          <cell r="AE191">
            <v>0</v>
          </cell>
          <cell r="AF191">
            <v>16</v>
          </cell>
          <cell r="AG191">
            <v>2</v>
          </cell>
          <cell r="AH191">
            <v>0</v>
          </cell>
          <cell r="AI191">
            <v>3096</v>
          </cell>
          <cell r="AJ191">
            <v>2739</v>
          </cell>
          <cell r="AK191">
            <v>2298</v>
          </cell>
          <cell r="AL191">
            <v>441</v>
          </cell>
          <cell r="AM191">
            <v>172</v>
          </cell>
        </row>
        <row r="192">
          <cell r="A192">
            <v>185</v>
          </cell>
          <cell r="B192" t="str">
            <v>North Somerset</v>
          </cell>
          <cell r="C192" t="str">
            <v>E0104</v>
          </cell>
          <cell r="D192">
            <v>2908541.54</v>
          </cell>
          <cell r="E192">
            <v>89909.8</v>
          </cell>
          <cell r="F192">
            <v>19586.25</v>
          </cell>
          <cell r="G192">
            <v>27869.65</v>
          </cell>
          <cell r="H192">
            <v>1920496.68</v>
          </cell>
          <cell r="I192">
            <v>35107.480000000003</v>
          </cell>
          <cell r="J192">
            <v>428222.39</v>
          </cell>
          <cell r="K192">
            <v>0</v>
          </cell>
          <cell r="L192">
            <v>3882.94</v>
          </cell>
          <cell r="M192">
            <v>0</v>
          </cell>
          <cell r="N192">
            <v>979012.53</v>
          </cell>
          <cell r="O192">
            <v>3058456.55</v>
          </cell>
          <cell r="P192">
            <v>1.3</v>
          </cell>
          <cell r="Q192">
            <v>1.0378000000000001</v>
          </cell>
          <cell r="S192">
            <v>5835</v>
          </cell>
          <cell r="T192">
            <v>147195423</v>
          </cell>
          <cell r="U192">
            <v>607773.91</v>
          </cell>
          <cell r="X192">
            <v>272</v>
          </cell>
          <cell r="Y192">
            <v>12</v>
          </cell>
          <cell r="Z192">
            <v>18</v>
          </cell>
          <cell r="AA192">
            <v>1</v>
          </cell>
          <cell r="AB192">
            <v>788</v>
          </cell>
          <cell r="AC192">
            <v>99</v>
          </cell>
          <cell r="AD192">
            <v>102</v>
          </cell>
          <cell r="AE192">
            <v>0</v>
          </cell>
          <cell r="AF192">
            <v>8</v>
          </cell>
          <cell r="AG192">
            <v>0</v>
          </cell>
          <cell r="AH192">
            <v>0</v>
          </cell>
          <cell r="AI192">
            <v>3766</v>
          </cell>
          <cell r="AJ192">
            <v>1771</v>
          </cell>
          <cell r="AK192">
            <v>1105</v>
          </cell>
          <cell r="AL192">
            <v>666</v>
          </cell>
          <cell r="AM192">
            <v>200</v>
          </cell>
        </row>
        <row r="193">
          <cell r="A193">
            <v>186</v>
          </cell>
          <cell r="B193" t="str">
            <v>North Tyneside</v>
          </cell>
          <cell r="C193" t="str">
            <v>E4503</v>
          </cell>
          <cell r="D193">
            <v>2757553.18</v>
          </cell>
          <cell r="E193">
            <v>55716.52</v>
          </cell>
          <cell r="F193">
            <v>0</v>
          </cell>
          <cell r="G193">
            <v>310000</v>
          </cell>
          <cell r="H193">
            <v>1830475.86</v>
          </cell>
          <cell r="I193">
            <v>48868.97</v>
          </cell>
          <cell r="J193">
            <v>15940.44</v>
          </cell>
          <cell r="K193">
            <v>3482.29</v>
          </cell>
          <cell r="L193">
            <v>0</v>
          </cell>
          <cell r="M193">
            <v>0</v>
          </cell>
          <cell r="N193">
            <v>1049727.6299999999</v>
          </cell>
          <cell r="O193">
            <v>2791577.6000000001</v>
          </cell>
          <cell r="P193">
            <v>1.7</v>
          </cell>
          <cell r="Q193">
            <v>1</v>
          </cell>
          <cell r="S193">
            <v>5190</v>
          </cell>
          <cell r="T193">
            <v>148893417</v>
          </cell>
          <cell r="U193">
            <v>802518.94</v>
          </cell>
          <cell r="X193">
            <v>221</v>
          </cell>
          <cell r="Y193">
            <v>12</v>
          </cell>
          <cell r="Z193">
            <v>0</v>
          </cell>
          <cell r="AA193">
            <v>1</v>
          </cell>
          <cell r="AB193">
            <v>838</v>
          </cell>
          <cell r="AC193">
            <v>142</v>
          </cell>
          <cell r="AD193">
            <v>28</v>
          </cell>
          <cell r="AE193">
            <v>12</v>
          </cell>
          <cell r="AF193">
            <v>0</v>
          </cell>
          <cell r="AG193">
            <v>0</v>
          </cell>
          <cell r="AH193">
            <v>0</v>
          </cell>
          <cell r="AI193">
            <v>3654</v>
          </cell>
          <cell r="AJ193">
            <v>1555</v>
          </cell>
          <cell r="AK193">
            <v>1048</v>
          </cell>
          <cell r="AL193">
            <v>507</v>
          </cell>
          <cell r="AM193">
            <v>82</v>
          </cell>
        </row>
        <row r="194">
          <cell r="A194">
            <v>187</v>
          </cell>
          <cell r="B194" t="str">
            <v>North Warwickshire</v>
          </cell>
          <cell r="C194" t="str">
            <v>E3731</v>
          </cell>
          <cell r="D194">
            <v>553257.57999999996</v>
          </cell>
          <cell r="E194">
            <v>26413.34</v>
          </cell>
          <cell r="F194">
            <v>23913.66</v>
          </cell>
          <cell r="G194">
            <v>0</v>
          </cell>
          <cell r="H194">
            <v>722963</v>
          </cell>
          <cell r="I194">
            <v>5771.32</v>
          </cell>
          <cell r="J194">
            <v>1882.45</v>
          </cell>
          <cell r="K194">
            <v>518.57000000000005</v>
          </cell>
          <cell r="L194">
            <v>6575.87</v>
          </cell>
          <cell r="M194">
            <v>0</v>
          </cell>
          <cell r="N194">
            <v>757884.86</v>
          </cell>
          <cell r="O194">
            <v>795319</v>
          </cell>
          <cell r="P194">
            <v>0.9</v>
          </cell>
          <cell r="Q194">
            <v>1.0213000000000001</v>
          </cell>
          <cell r="S194">
            <v>2203</v>
          </cell>
          <cell r="T194">
            <v>97262755</v>
          </cell>
          <cell r="U194">
            <v>416312.64</v>
          </cell>
          <cell r="X194">
            <v>95</v>
          </cell>
          <cell r="Y194">
            <v>8</v>
          </cell>
          <cell r="Z194">
            <v>13</v>
          </cell>
          <cell r="AA194">
            <v>0</v>
          </cell>
          <cell r="AB194">
            <v>374</v>
          </cell>
          <cell r="AC194">
            <v>59</v>
          </cell>
          <cell r="AD194">
            <v>3</v>
          </cell>
          <cell r="AE194">
            <v>8</v>
          </cell>
          <cell r="AF194">
            <v>11</v>
          </cell>
          <cell r="AG194">
            <v>0</v>
          </cell>
          <cell r="AH194">
            <v>0</v>
          </cell>
          <cell r="AI194">
            <v>1463</v>
          </cell>
          <cell r="AJ194">
            <v>627</v>
          </cell>
          <cell r="AK194">
            <v>431</v>
          </cell>
          <cell r="AL194">
            <v>196</v>
          </cell>
          <cell r="AM194">
            <v>26</v>
          </cell>
        </row>
        <row r="195">
          <cell r="A195">
            <v>188</v>
          </cell>
          <cell r="B195" t="str">
            <v>North West Leicestershire</v>
          </cell>
          <cell r="C195" t="str">
            <v>E2437</v>
          </cell>
          <cell r="D195">
            <v>598558</v>
          </cell>
          <cell r="E195">
            <v>16085</v>
          </cell>
          <cell r="F195">
            <v>13423</v>
          </cell>
          <cell r="G195">
            <v>0</v>
          </cell>
          <cell r="H195">
            <v>440922</v>
          </cell>
          <cell r="I195">
            <v>9834.6</v>
          </cell>
          <cell r="J195">
            <v>51409</v>
          </cell>
          <cell r="K195">
            <v>374.13</v>
          </cell>
          <cell r="L195">
            <v>10067.42</v>
          </cell>
          <cell r="M195">
            <v>0</v>
          </cell>
          <cell r="N195">
            <v>805525</v>
          </cell>
          <cell r="O195">
            <v>1530682.77</v>
          </cell>
          <cell r="P195">
            <v>0.9</v>
          </cell>
          <cell r="Q195">
            <v>1</v>
          </cell>
          <cell r="S195">
            <v>3155</v>
          </cell>
          <cell r="T195">
            <v>111259662</v>
          </cell>
          <cell r="U195">
            <v>458958.91</v>
          </cell>
          <cell r="X195">
            <v>100</v>
          </cell>
          <cell r="Y195">
            <v>8</v>
          </cell>
          <cell r="Z195">
            <v>15</v>
          </cell>
          <cell r="AA195">
            <v>0</v>
          </cell>
          <cell r="AB195">
            <v>207</v>
          </cell>
          <cell r="AC195">
            <v>75</v>
          </cell>
          <cell r="AD195">
            <v>25</v>
          </cell>
          <cell r="AE195">
            <v>4</v>
          </cell>
          <cell r="AF195">
            <v>15</v>
          </cell>
          <cell r="AG195">
            <v>1</v>
          </cell>
          <cell r="AH195">
            <v>0</v>
          </cell>
          <cell r="AI195">
            <v>2119</v>
          </cell>
          <cell r="AJ195">
            <v>991</v>
          </cell>
          <cell r="AK195">
            <v>755</v>
          </cell>
          <cell r="AL195">
            <v>236</v>
          </cell>
          <cell r="AM195">
            <v>52</v>
          </cell>
        </row>
        <row r="196">
          <cell r="A196">
            <v>189</v>
          </cell>
          <cell r="B196" t="str">
            <v>Northampton</v>
          </cell>
          <cell r="C196" t="str">
            <v>E2835</v>
          </cell>
          <cell r="D196">
            <v>4041183.68</v>
          </cell>
          <cell r="E196">
            <v>15195.97</v>
          </cell>
          <cell r="F196">
            <v>0</v>
          </cell>
          <cell r="G196">
            <v>0</v>
          </cell>
          <cell r="H196">
            <v>4379365.5</v>
          </cell>
          <cell r="I196">
            <v>64296.59</v>
          </cell>
          <cell r="J196">
            <v>206799.66</v>
          </cell>
          <cell r="K196">
            <v>1921.68</v>
          </cell>
          <cell r="L196">
            <v>0</v>
          </cell>
          <cell r="M196">
            <v>0</v>
          </cell>
          <cell r="N196">
            <v>1749598.68</v>
          </cell>
          <cell r="O196">
            <v>2134948.02</v>
          </cell>
          <cell r="P196">
            <v>0.9</v>
          </cell>
          <cell r="Q196">
            <v>1.0132000000000001</v>
          </cell>
          <cell r="S196">
            <v>6236</v>
          </cell>
          <cell r="T196">
            <v>248097868</v>
          </cell>
          <cell r="U196">
            <v>1001515.64</v>
          </cell>
          <cell r="X196">
            <v>261</v>
          </cell>
          <cell r="Y196">
            <v>3</v>
          </cell>
          <cell r="Z196">
            <v>0</v>
          </cell>
          <cell r="AA196">
            <v>7</v>
          </cell>
          <cell r="AB196">
            <v>1391</v>
          </cell>
          <cell r="AC196">
            <v>149</v>
          </cell>
          <cell r="AD196">
            <v>36</v>
          </cell>
          <cell r="AE196">
            <v>3</v>
          </cell>
          <cell r="AF196">
            <v>0</v>
          </cell>
          <cell r="AG196">
            <v>0</v>
          </cell>
          <cell r="AH196">
            <v>210</v>
          </cell>
          <cell r="AI196">
            <v>4575</v>
          </cell>
          <cell r="AJ196">
            <v>1511</v>
          </cell>
          <cell r="AK196">
            <v>799</v>
          </cell>
          <cell r="AL196">
            <v>712</v>
          </cell>
          <cell r="AM196">
            <v>129</v>
          </cell>
        </row>
        <row r="197">
          <cell r="A197">
            <v>190</v>
          </cell>
          <cell r="B197" t="str">
            <v>Northumberland UA</v>
          </cell>
          <cell r="C197" t="str">
            <v>E2901</v>
          </cell>
          <cell r="D197">
            <v>4472909.2</v>
          </cell>
          <cell r="E197">
            <v>175556.57</v>
          </cell>
          <cell r="F197">
            <v>93303.48</v>
          </cell>
          <cell r="G197">
            <v>0</v>
          </cell>
          <cell r="H197">
            <v>2323253.39</v>
          </cell>
          <cell r="I197">
            <v>166035.63</v>
          </cell>
          <cell r="J197">
            <v>148917.89000000001</v>
          </cell>
          <cell r="K197">
            <v>3989.74</v>
          </cell>
          <cell r="L197">
            <v>5571.16</v>
          </cell>
          <cell r="M197">
            <v>7436.35</v>
          </cell>
          <cell r="N197">
            <v>1269131.6599999999</v>
          </cell>
          <cell r="O197">
            <v>5849307.6099999994</v>
          </cell>
          <cell r="P197">
            <v>0.9</v>
          </cell>
          <cell r="Q197">
            <v>1</v>
          </cell>
          <cell r="S197">
            <v>11797</v>
          </cell>
          <cell r="T197">
            <v>201354937</v>
          </cell>
          <cell r="U197">
            <v>803859.88</v>
          </cell>
          <cell r="X197">
            <v>739</v>
          </cell>
          <cell r="Y197">
            <v>53</v>
          </cell>
          <cell r="Z197">
            <v>96</v>
          </cell>
          <cell r="AA197">
            <v>0</v>
          </cell>
          <cell r="AB197">
            <v>1147</v>
          </cell>
          <cell r="AC197">
            <v>476</v>
          </cell>
          <cell r="AD197">
            <v>104</v>
          </cell>
          <cell r="AE197">
            <v>16</v>
          </cell>
          <cell r="AF197">
            <v>15</v>
          </cell>
          <cell r="AG197">
            <v>4</v>
          </cell>
          <cell r="AH197">
            <v>0</v>
          </cell>
          <cell r="AI197">
            <v>7760</v>
          </cell>
          <cell r="AJ197">
            <v>3911</v>
          </cell>
          <cell r="AK197">
            <v>2938</v>
          </cell>
          <cell r="AL197">
            <v>973</v>
          </cell>
          <cell r="AM197">
            <v>189</v>
          </cell>
        </row>
        <row r="198">
          <cell r="A198">
            <v>191</v>
          </cell>
          <cell r="B198" t="str">
            <v>Norwich</v>
          </cell>
          <cell r="C198" t="str">
            <v>E2636</v>
          </cell>
          <cell r="D198">
            <v>4689189.55</v>
          </cell>
          <cell r="E198">
            <v>23064.880000000001</v>
          </cell>
          <cell r="F198">
            <v>0</v>
          </cell>
          <cell r="G198">
            <v>58823.8</v>
          </cell>
          <cell r="H198">
            <v>4184467.25</v>
          </cell>
          <cell r="I198">
            <v>28554.880000000001</v>
          </cell>
          <cell r="J198">
            <v>45819.53</v>
          </cell>
          <cell r="K198">
            <v>0</v>
          </cell>
          <cell r="L198">
            <v>0</v>
          </cell>
          <cell r="M198">
            <v>0</v>
          </cell>
          <cell r="N198">
            <v>1398775.9</v>
          </cell>
          <cell r="O198">
            <v>2593226.38</v>
          </cell>
          <cell r="P198">
            <v>1.3</v>
          </cell>
          <cell r="Q198">
            <v>1</v>
          </cell>
          <cell r="S198">
            <v>5903</v>
          </cell>
          <cell r="T198">
            <v>196557950</v>
          </cell>
          <cell r="U198">
            <v>742090.67</v>
          </cell>
          <cell r="X198">
            <v>296</v>
          </cell>
          <cell r="Y198">
            <v>3</v>
          </cell>
          <cell r="Z198">
            <v>0</v>
          </cell>
          <cell r="AA198">
            <v>13</v>
          </cell>
          <cell r="AB198">
            <v>880</v>
          </cell>
          <cell r="AC198">
            <v>77</v>
          </cell>
          <cell r="AD198">
            <v>13</v>
          </cell>
          <cell r="AE198">
            <v>0</v>
          </cell>
          <cell r="AF198">
            <v>0</v>
          </cell>
          <cell r="AG198">
            <v>0</v>
          </cell>
          <cell r="AH198">
            <v>0</v>
          </cell>
          <cell r="AI198">
            <v>4275</v>
          </cell>
          <cell r="AJ198">
            <v>1451</v>
          </cell>
          <cell r="AK198">
            <v>813</v>
          </cell>
          <cell r="AL198">
            <v>638</v>
          </cell>
          <cell r="AM198">
            <v>171</v>
          </cell>
        </row>
        <row r="199">
          <cell r="A199">
            <v>192</v>
          </cell>
          <cell r="B199" t="str">
            <v>Nottingham</v>
          </cell>
          <cell r="C199" t="str">
            <v>E3001</v>
          </cell>
          <cell r="D199">
            <v>11123392.539999999</v>
          </cell>
          <cell r="E199">
            <v>43693.2</v>
          </cell>
          <cell r="F199">
            <v>0</v>
          </cell>
          <cell r="G199">
            <v>712932.89</v>
          </cell>
          <cell r="H199">
            <v>6107596.6899999995</v>
          </cell>
          <cell r="I199">
            <v>35164.730000000003</v>
          </cell>
          <cell r="J199">
            <v>362862.83</v>
          </cell>
          <cell r="K199">
            <v>780.3</v>
          </cell>
          <cell r="L199">
            <v>0</v>
          </cell>
          <cell r="M199">
            <v>0</v>
          </cell>
          <cell r="N199">
            <v>2352439.02</v>
          </cell>
          <cell r="O199">
            <v>3052592.04</v>
          </cell>
          <cell r="P199">
            <v>1.3</v>
          </cell>
          <cell r="Q199">
            <v>1.0121</v>
          </cell>
          <cell r="S199">
            <v>11127</v>
          </cell>
          <cell r="T199">
            <v>324315456</v>
          </cell>
          <cell r="U199">
            <v>1361996</v>
          </cell>
          <cell r="X199">
            <v>505</v>
          </cell>
          <cell r="Y199">
            <v>8</v>
          </cell>
          <cell r="Z199">
            <v>0</v>
          </cell>
          <cell r="AA199">
            <v>2</v>
          </cell>
          <cell r="AB199">
            <v>1593</v>
          </cell>
          <cell r="AC199">
            <v>142</v>
          </cell>
          <cell r="AD199">
            <v>68</v>
          </cell>
          <cell r="AE199">
            <v>1</v>
          </cell>
          <cell r="AF199">
            <v>0</v>
          </cell>
          <cell r="AG199">
            <v>0</v>
          </cell>
          <cell r="AH199">
            <v>0</v>
          </cell>
          <cell r="AI199">
            <v>5077</v>
          </cell>
          <cell r="AJ199">
            <v>2594</v>
          </cell>
          <cell r="AK199">
            <v>1981</v>
          </cell>
          <cell r="AL199">
            <v>613</v>
          </cell>
          <cell r="AM199">
            <v>3419</v>
          </cell>
        </row>
        <row r="200">
          <cell r="A200">
            <v>193</v>
          </cell>
          <cell r="B200" t="str">
            <v>Nuneaton and Bedworth</v>
          </cell>
          <cell r="C200" t="str">
            <v>E3732</v>
          </cell>
          <cell r="D200">
            <v>1506465.36</v>
          </cell>
          <cell r="E200">
            <v>7328</v>
          </cell>
          <cell r="F200">
            <v>0</v>
          </cell>
          <cell r="G200">
            <v>10000</v>
          </cell>
          <cell r="H200">
            <v>895704.61</v>
          </cell>
          <cell r="I200">
            <v>27006.82</v>
          </cell>
          <cell r="J200">
            <v>53979.38</v>
          </cell>
          <cell r="K200">
            <v>0</v>
          </cell>
          <cell r="L200">
            <v>0</v>
          </cell>
          <cell r="M200">
            <v>0</v>
          </cell>
          <cell r="N200">
            <v>569503.85</v>
          </cell>
          <cell r="O200">
            <v>1397480.53</v>
          </cell>
          <cell r="P200">
            <v>0.9</v>
          </cell>
          <cell r="Q200">
            <v>1.0213000000000001</v>
          </cell>
          <cell r="S200">
            <v>3041</v>
          </cell>
          <cell r="T200">
            <v>84518517</v>
          </cell>
          <cell r="U200">
            <v>324410.5</v>
          </cell>
          <cell r="X200">
            <v>133</v>
          </cell>
          <cell r="Y200">
            <v>2</v>
          </cell>
          <cell r="Z200">
            <v>0</v>
          </cell>
          <cell r="AA200">
            <v>0</v>
          </cell>
          <cell r="AB200">
            <v>158</v>
          </cell>
          <cell r="AC200">
            <v>64</v>
          </cell>
          <cell r="AD200">
            <v>18</v>
          </cell>
          <cell r="AE200">
            <v>0</v>
          </cell>
          <cell r="AF200">
            <v>0</v>
          </cell>
          <cell r="AG200">
            <v>0</v>
          </cell>
          <cell r="AH200">
            <v>0</v>
          </cell>
          <cell r="AI200">
            <v>2142</v>
          </cell>
          <cell r="AJ200">
            <v>818</v>
          </cell>
          <cell r="AK200">
            <v>549</v>
          </cell>
          <cell r="AL200">
            <v>269</v>
          </cell>
          <cell r="AM200">
            <v>98</v>
          </cell>
        </row>
        <row r="201">
          <cell r="A201">
            <v>194</v>
          </cell>
          <cell r="B201" t="str">
            <v>Oadby and Wigston</v>
          </cell>
          <cell r="C201" t="str">
            <v>E2438</v>
          </cell>
          <cell r="D201">
            <v>828314.02</v>
          </cell>
          <cell r="E201">
            <v>0</v>
          </cell>
          <cell r="F201">
            <v>0</v>
          </cell>
          <cell r="G201">
            <v>0</v>
          </cell>
          <cell r="H201">
            <v>319429.99</v>
          </cell>
          <cell r="I201">
            <v>13166.36</v>
          </cell>
          <cell r="J201">
            <v>9426.3799999999992</v>
          </cell>
          <cell r="K201">
            <v>0</v>
          </cell>
          <cell r="L201">
            <v>0</v>
          </cell>
          <cell r="M201">
            <v>0</v>
          </cell>
          <cell r="N201">
            <v>203164.5</v>
          </cell>
          <cell r="O201">
            <v>801888.5</v>
          </cell>
          <cell r="P201">
            <v>0.9</v>
          </cell>
          <cell r="Q201">
            <v>1</v>
          </cell>
          <cell r="S201">
            <v>1326</v>
          </cell>
          <cell r="T201">
            <v>31441243</v>
          </cell>
          <cell r="U201">
            <v>117607.89</v>
          </cell>
          <cell r="X201">
            <v>47</v>
          </cell>
          <cell r="Y201">
            <v>0</v>
          </cell>
          <cell r="Z201">
            <v>0</v>
          </cell>
          <cell r="AA201">
            <v>0</v>
          </cell>
          <cell r="AB201">
            <v>140</v>
          </cell>
          <cell r="AC201">
            <v>31</v>
          </cell>
          <cell r="AD201">
            <v>4</v>
          </cell>
          <cell r="AE201">
            <v>0</v>
          </cell>
          <cell r="AF201">
            <v>0</v>
          </cell>
          <cell r="AG201">
            <v>0</v>
          </cell>
          <cell r="AH201">
            <v>0</v>
          </cell>
          <cell r="AI201">
            <v>816</v>
          </cell>
          <cell r="AJ201">
            <v>473</v>
          </cell>
          <cell r="AK201">
            <v>316</v>
          </cell>
          <cell r="AL201">
            <v>157</v>
          </cell>
          <cell r="AM201">
            <v>28</v>
          </cell>
        </row>
        <row r="202">
          <cell r="A202">
            <v>195</v>
          </cell>
          <cell r="B202" t="str">
            <v>Oldham</v>
          </cell>
          <cell r="C202" t="str">
            <v>E4204</v>
          </cell>
          <cell r="D202">
            <v>3013414.55</v>
          </cell>
          <cell r="E202">
            <v>79719.48</v>
          </cell>
          <cell r="F202">
            <v>11440.74</v>
          </cell>
          <cell r="G202">
            <v>0</v>
          </cell>
          <cell r="H202">
            <v>3358427.85</v>
          </cell>
          <cell r="I202">
            <v>58432.83</v>
          </cell>
          <cell r="J202">
            <v>42250.5</v>
          </cell>
          <cell r="K202">
            <v>1912.72</v>
          </cell>
          <cell r="L202">
            <v>1185.07</v>
          </cell>
          <cell r="M202">
            <v>0</v>
          </cell>
          <cell r="N202">
            <v>1033974.05</v>
          </cell>
          <cell r="O202">
            <v>4496700.29</v>
          </cell>
          <cell r="P202">
            <v>1.7</v>
          </cell>
          <cell r="Q202">
            <v>1.0168999999999999</v>
          </cell>
          <cell r="S202">
            <v>7326</v>
          </cell>
          <cell r="T202">
            <v>155568115</v>
          </cell>
          <cell r="U202">
            <v>795410.96</v>
          </cell>
          <cell r="X202">
            <v>267</v>
          </cell>
          <cell r="Y202">
            <v>17</v>
          </cell>
          <cell r="Z202">
            <v>10</v>
          </cell>
          <cell r="AA202">
            <v>0</v>
          </cell>
          <cell r="AB202">
            <v>1339</v>
          </cell>
          <cell r="AC202">
            <v>99</v>
          </cell>
          <cell r="AD202">
            <v>25</v>
          </cell>
          <cell r="AE202">
            <v>4</v>
          </cell>
          <cell r="AF202">
            <v>2</v>
          </cell>
          <cell r="AG202">
            <v>0</v>
          </cell>
          <cell r="AH202">
            <v>0</v>
          </cell>
          <cell r="AI202">
            <v>2805</v>
          </cell>
          <cell r="AJ202">
            <v>2564</v>
          </cell>
          <cell r="AK202">
            <v>1789</v>
          </cell>
          <cell r="AL202">
            <v>775</v>
          </cell>
          <cell r="AM202">
            <v>112</v>
          </cell>
        </row>
        <row r="203">
          <cell r="A203">
            <v>196</v>
          </cell>
          <cell r="B203" t="str">
            <v>Oxford</v>
          </cell>
          <cell r="C203" t="str">
            <v>E3132</v>
          </cell>
          <cell r="D203">
            <v>18309586.939999998</v>
          </cell>
          <cell r="E203">
            <v>33126.71</v>
          </cell>
          <cell r="F203">
            <v>0</v>
          </cell>
          <cell r="G203">
            <v>78006.820000000007</v>
          </cell>
          <cell r="H203">
            <v>1842492.47</v>
          </cell>
          <cell r="I203">
            <v>0</v>
          </cell>
          <cell r="J203">
            <v>33866.550000000003</v>
          </cell>
          <cell r="K203">
            <v>0</v>
          </cell>
          <cell r="L203">
            <v>0</v>
          </cell>
          <cell r="M203">
            <v>0</v>
          </cell>
          <cell r="N203">
            <v>1723170.6</v>
          </cell>
          <cell r="O203">
            <v>911914.69</v>
          </cell>
          <cell r="P203">
            <v>0.9</v>
          </cell>
          <cell r="Q203">
            <v>1.0533999999999999</v>
          </cell>
          <cell r="S203">
            <v>3851</v>
          </cell>
          <cell r="T203">
            <v>230253574</v>
          </cell>
          <cell r="U203">
            <v>812713.55</v>
          </cell>
          <cell r="X203">
            <v>509</v>
          </cell>
          <cell r="Y203">
            <v>6</v>
          </cell>
          <cell r="Z203">
            <v>0</v>
          </cell>
          <cell r="AA203">
            <v>5</v>
          </cell>
          <cell r="AB203">
            <v>205</v>
          </cell>
          <cell r="AC203">
            <v>0</v>
          </cell>
          <cell r="AD203">
            <v>8</v>
          </cell>
          <cell r="AE203">
            <v>0</v>
          </cell>
          <cell r="AF203">
            <v>0</v>
          </cell>
          <cell r="AG203">
            <v>0</v>
          </cell>
          <cell r="AH203">
            <v>0</v>
          </cell>
          <cell r="AI203">
            <v>3276</v>
          </cell>
          <cell r="AJ203">
            <v>486</v>
          </cell>
          <cell r="AK203">
            <v>194</v>
          </cell>
          <cell r="AL203">
            <v>292</v>
          </cell>
          <cell r="AM203">
            <v>107</v>
          </cell>
        </row>
        <row r="204">
          <cell r="A204">
            <v>197</v>
          </cell>
          <cell r="B204" t="str">
            <v>Pendle</v>
          </cell>
          <cell r="C204" t="str">
            <v>E2338</v>
          </cell>
          <cell r="D204">
            <v>874100.07</v>
          </cell>
          <cell r="E204">
            <v>0</v>
          </cell>
          <cell r="F204">
            <v>553.41</v>
          </cell>
          <cell r="G204">
            <v>0</v>
          </cell>
          <cell r="H204">
            <v>603660.74</v>
          </cell>
          <cell r="I204">
            <v>25470.18</v>
          </cell>
          <cell r="J204">
            <v>69009.83</v>
          </cell>
          <cell r="K204">
            <v>0</v>
          </cell>
          <cell r="L204">
            <v>415.06</v>
          </cell>
          <cell r="M204">
            <v>0</v>
          </cell>
          <cell r="N204">
            <v>306438</v>
          </cell>
          <cell r="O204">
            <v>2344770.11</v>
          </cell>
          <cell r="P204">
            <v>0.9</v>
          </cell>
          <cell r="Q204">
            <v>1</v>
          </cell>
          <cell r="S204">
            <v>3480</v>
          </cell>
          <cell r="T204">
            <v>52265154</v>
          </cell>
          <cell r="U204">
            <v>186948.03</v>
          </cell>
          <cell r="X204">
            <v>115</v>
          </cell>
          <cell r="Y204">
            <v>0</v>
          </cell>
          <cell r="Z204">
            <v>2</v>
          </cell>
          <cell r="AA204">
            <v>0</v>
          </cell>
          <cell r="AB204">
            <v>421</v>
          </cell>
          <cell r="AC204">
            <v>65</v>
          </cell>
          <cell r="AD204">
            <v>49</v>
          </cell>
          <cell r="AE204">
            <v>0</v>
          </cell>
          <cell r="AF204">
            <v>2</v>
          </cell>
          <cell r="AG204">
            <v>0</v>
          </cell>
          <cell r="AH204">
            <v>0</v>
          </cell>
          <cell r="AI204">
            <v>479</v>
          </cell>
          <cell r="AJ204">
            <v>2509</v>
          </cell>
          <cell r="AK204">
            <v>2172</v>
          </cell>
          <cell r="AL204">
            <v>337</v>
          </cell>
          <cell r="AM204">
            <v>485</v>
          </cell>
        </row>
        <row r="205">
          <cell r="A205">
            <v>198</v>
          </cell>
          <cell r="B205" t="str">
            <v>Peterborough</v>
          </cell>
          <cell r="C205" t="str">
            <v>E0501</v>
          </cell>
          <cell r="D205">
            <v>4439362.37</v>
          </cell>
          <cell r="E205">
            <v>52212</v>
          </cell>
          <cell r="F205">
            <v>10568.85</v>
          </cell>
          <cell r="G205">
            <v>0</v>
          </cell>
          <cell r="H205">
            <v>1497563.07</v>
          </cell>
          <cell r="I205">
            <v>64853.45</v>
          </cell>
          <cell r="J205">
            <v>3649.69</v>
          </cell>
          <cell r="K205">
            <v>1846.31</v>
          </cell>
          <cell r="L205">
            <v>3615.92</v>
          </cell>
          <cell r="M205">
            <v>0</v>
          </cell>
          <cell r="N205">
            <v>1688798.94</v>
          </cell>
          <cell r="O205">
            <v>2241503.2799999998</v>
          </cell>
          <cell r="P205">
            <v>1.3</v>
          </cell>
          <cell r="Q205">
            <v>1.0339</v>
          </cell>
          <cell r="S205">
            <v>5549</v>
          </cell>
          <cell r="T205">
            <v>227005535</v>
          </cell>
          <cell r="U205">
            <v>1004918.74</v>
          </cell>
          <cell r="X205">
            <v>296</v>
          </cell>
          <cell r="Y205">
            <v>4</v>
          </cell>
          <cell r="Z205">
            <v>10</v>
          </cell>
          <cell r="AA205">
            <v>0</v>
          </cell>
          <cell r="AB205">
            <v>748</v>
          </cell>
          <cell r="AC205">
            <v>121</v>
          </cell>
          <cell r="AD205">
            <v>1</v>
          </cell>
          <cell r="AE205">
            <v>2</v>
          </cell>
          <cell r="AF205">
            <v>5</v>
          </cell>
          <cell r="AG205">
            <v>0</v>
          </cell>
          <cell r="AH205">
            <v>0</v>
          </cell>
          <cell r="AI205">
            <v>3887</v>
          </cell>
          <cell r="AJ205">
            <v>1323</v>
          </cell>
          <cell r="AK205">
            <v>769</v>
          </cell>
          <cell r="AL205">
            <v>554</v>
          </cell>
          <cell r="AM205">
            <v>299</v>
          </cell>
        </row>
        <row r="206">
          <cell r="A206">
            <v>199</v>
          </cell>
          <cell r="B206" t="str">
            <v>Plymouth</v>
          </cell>
          <cell r="C206" t="str">
            <v>E1101</v>
          </cell>
          <cell r="D206">
            <v>7585997.9000000004</v>
          </cell>
          <cell r="E206">
            <v>9797.5400000000009</v>
          </cell>
          <cell r="F206">
            <v>0</v>
          </cell>
          <cell r="G206">
            <v>250000</v>
          </cell>
          <cell r="H206">
            <v>2067915.96</v>
          </cell>
          <cell r="I206">
            <v>40244.46</v>
          </cell>
          <cell r="J206">
            <v>238729.31</v>
          </cell>
          <cell r="K206">
            <v>0</v>
          </cell>
          <cell r="L206">
            <v>0</v>
          </cell>
          <cell r="M206">
            <v>0</v>
          </cell>
          <cell r="N206">
            <v>1597163.35</v>
          </cell>
          <cell r="O206">
            <v>3372511.94</v>
          </cell>
          <cell r="P206">
            <v>1.3</v>
          </cell>
          <cell r="Q206">
            <v>1</v>
          </cell>
          <cell r="S206">
            <v>6825</v>
          </cell>
          <cell r="T206">
            <v>225939929</v>
          </cell>
          <cell r="U206">
            <v>931840</v>
          </cell>
          <cell r="X206">
            <v>495</v>
          </cell>
          <cell r="Y206">
            <v>5</v>
          </cell>
          <cell r="Z206">
            <v>0</v>
          </cell>
          <cell r="AA206">
            <v>0</v>
          </cell>
          <cell r="AB206">
            <v>763</v>
          </cell>
          <cell r="AC206">
            <v>23</v>
          </cell>
          <cell r="AD206">
            <v>62</v>
          </cell>
          <cell r="AE206">
            <v>0</v>
          </cell>
          <cell r="AF206">
            <v>0</v>
          </cell>
          <cell r="AG206">
            <v>0</v>
          </cell>
          <cell r="AH206">
            <v>0</v>
          </cell>
          <cell r="AI206">
            <v>4676</v>
          </cell>
          <cell r="AJ206">
            <v>1873</v>
          </cell>
          <cell r="AK206">
            <v>1159</v>
          </cell>
          <cell r="AL206">
            <v>714</v>
          </cell>
          <cell r="AM206">
            <v>214</v>
          </cell>
        </row>
        <row r="207">
          <cell r="A207">
            <v>200</v>
          </cell>
          <cell r="B207" t="str">
            <v>Poole</v>
          </cell>
          <cell r="C207" t="str">
            <v>E1201</v>
          </cell>
          <cell r="D207">
            <v>3908435.17</v>
          </cell>
          <cell r="E207">
            <v>34373.17</v>
          </cell>
          <cell r="F207">
            <v>0</v>
          </cell>
          <cell r="G207">
            <v>0</v>
          </cell>
          <cell r="H207">
            <v>2027273.44</v>
          </cell>
          <cell r="I207">
            <v>58828.57</v>
          </cell>
          <cell r="J207">
            <v>28787.93</v>
          </cell>
          <cell r="K207">
            <v>651.66</v>
          </cell>
          <cell r="L207">
            <v>0</v>
          </cell>
          <cell r="M207">
            <v>0</v>
          </cell>
          <cell r="N207">
            <v>1090291.1599999999</v>
          </cell>
          <cell r="O207">
            <v>2466282.46</v>
          </cell>
          <cell r="P207">
            <v>1.3</v>
          </cell>
          <cell r="Q207">
            <v>1</v>
          </cell>
          <cell r="S207">
            <v>5452</v>
          </cell>
          <cell r="T207">
            <v>155480721</v>
          </cell>
          <cell r="U207">
            <v>650521.53</v>
          </cell>
          <cell r="X207">
            <v>155</v>
          </cell>
          <cell r="Y207">
            <v>7</v>
          </cell>
          <cell r="Z207">
            <v>0</v>
          </cell>
          <cell r="AA207">
            <v>0</v>
          </cell>
          <cell r="AB207">
            <v>473</v>
          </cell>
          <cell r="AC207">
            <v>75</v>
          </cell>
          <cell r="AD207">
            <v>70</v>
          </cell>
          <cell r="AE207">
            <v>5</v>
          </cell>
          <cell r="AF207">
            <v>0</v>
          </cell>
          <cell r="AG207">
            <v>0</v>
          </cell>
          <cell r="AH207">
            <v>0</v>
          </cell>
          <cell r="AI207">
            <v>3037</v>
          </cell>
          <cell r="AJ207">
            <v>2161</v>
          </cell>
          <cell r="AK207">
            <v>1617</v>
          </cell>
          <cell r="AL207">
            <v>544</v>
          </cell>
          <cell r="AM207">
            <v>140</v>
          </cell>
        </row>
        <row r="208">
          <cell r="A208">
            <v>201</v>
          </cell>
          <cell r="B208" t="str">
            <v>Portsmouth</v>
          </cell>
          <cell r="C208" t="str">
            <v>E1701</v>
          </cell>
          <cell r="D208">
            <v>5315121.45</v>
          </cell>
          <cell r="E208">
            <v>31162.32</v>
          </cell>
          <cell r="F208">
            <v>0</v>
          </cell>
          <cell r="G208">
            <v>33044.199999999997</v>
          </cell>
          <cell r="H208">
            <v>1568518.37</v>
          </cell>
          <cell r="I208">
            <v>65000</v>
          </cell>
          <cell r="J208">
            <v>5750</v>
          </cell>
          <cell r="K208">
            <v>209.25</v>
          </cell>
          <cell r="L208">
            <v>0</v>
          </cell>
          <cell r="M208">
            <v>0</v>
          </cell>
          <cell r="N208">
            <v>1456731.26</v>
          </cell>
          <cell r="O208">
            <v>2772677.63</v>
          </cell>
          <cell r="P208">
            <v>1.3</v>
          </cell>
          <cell r="Q208">
            <v>1.036</v>
          </cell>
          <cell r="S208">
            <v>5890</v>
          </cell>
          <cell r="T208">
            <v>204613702</v>
          </cell>
          <cell r="U208">
            <v>871378.57</v>
          </cell>
          <cell r="X208">
            <v>302</v>
          </cell>
          <cell r="Y208">
            <v>10</v>
          </cell>
          <cell r="Z208">
            <v>0</v>
          </cell>
          <cell r="AA208">
            <v>4</v>
          </cell>
          <cell r="AB208">
            <v>543</v>
          </cell>
          <cell r="AC208">
            <v>50</v>
          </cell>
          <cell r="AD208">
            <v>3</v>
          </cell>
          <cell r="AE208">
            <v>2</v>
          </cell>
          <cell r="AF208">
            <v>0</v>
          </cell>
          <cell r="AG208">
            <v>0</v>
          </cell>
          <cell r="AH208">
            <v>0</v>
          </cell>
          <cell r="AI208">
            <v>4148</v>
          </cell>
          <cell r="AJ208">
            <v>1527</v>
          </cell>
          <cell r="AK208">
            <v>882</v>
          </cell>
          <cell r="AL208">
            <v>645</v>
          </cell>
          <cell r="AM208">
            <v>150</v>
          </cell>
        </row>
        <row r="209">
          <cell r="A209">
            <v>202</v>
          </cell>
          <cell r="B209" t="str">
            <v>Preston</v>
          </cell>
          <cell r="C209" t="str">
            <v>E2339</v>
          </cell>
          <cell r="D209">
            <v>4357952.3600000003</v>
          </cell>
          <cell r="E209">
            <v>69336.77</v>
          </cell>
          <cell r="F209">
            <v>2716.1</v>
          </cell>
          <cell r="G209">
            <v>0</v>
          </cell>
          <cell r="H209">
            <v>1776785.71</v>
          </cell>
          <cell r="I209">
            <v>14989.29</v>
          </cell>
          <cell r="J209">
            <v>6225.94</v>
          </cell>
          <cell r="K209">
            <v>283.95999999999998</v>
          </cell>
          <cell r="L209">
            <v>841.58</v>
          </cell>
          <cell r="M209">
            <v>0</v>
          </cell>
          <cell r="N209">
            <v>1211301.81</v>
          </cell>
          <cell r="O209">
            <v>2729589.46</v>
          </cell>
          <cell r="P209">
            <v>0.9</v>
          </cell>
          <cell r="Q209">
            <v>1</v>
          </cell>
          <cell r="S209">
            <v>5313</v>
          </cell>
          <cell r="T209">
            <v>169374914</v>
          </cell>
          <cell r="U209">
            <v>646812.57999999996</v>
          </cell>
          <cell r="X209">
            <v>300</v>
          </cell>
          <cell r="Y209">
            <v>0</v>
          </cell>
          <cell r="Z209">
            <v>3</v>
          </cell>
          <cell r="AA209">
            <v>2</v>
          </cell>
          <cell r="AB209">
            <v>751</v>
          </cell>
          <cell r="AC209">
            <v>61</v>
          </cell>
          <cell r="AD209">
            <v>1</v>
          </cell>
          <cell r="AE209">
            <v>0</v>
          </cell>
          <cell r="AF209">
            <v>1</v>
          </cell>
          <cell r="AG209">
            <v>0</v>
          </cell>
          <cell r="AH209">
            <v>0</v>
          </cell>
          <cell r="AI209">
            <v>3558</v>
          </cell>
          <cell r="AJ209">
            <v>1566</v>
          </cell>
          <cell r="AK209">
            <v>1024</v>
          </cell>
          <cell r="AL209">
            <v>542</v>
          </cell>
          <cell r="AM209">
            <v>143</v>
          </cell>
        </row>
        <row r="210">
          <cell r="A210">
            <v>203</v>
          </cell>
          <cell r="B210" t="str">
            <v>Purbeck</v>
          </cell>
          <cell r="C210" t="str">
            <v>E1236</v>
          </cell>
          <cell r="D210">
            <v>524089.19</v>
          </cell>
          <cell r="E210">
            <v>57261.25</v>
          </cell>
          <cell r="F210">
            <v>16259.89</v>
          </cell>
          <cell r="G210">
            <v>0</v>
          </cell>
          <cell r="H210">
            <v>355302</v>
          </cell>
          <cell r="I210">
            <v>3830.82</v>
          </cell>
          <cell r="J210">
            <v>5641.17</v>
          </cell>
          <cell r="K210">
            <v>379.01</v>
          </cell>
          <cell r="L210">
            <v>4659.21</v>
          </cell>
          <cell r="M210">
            <v>0</v>
          </cell>
          <cell r="N210">
            <v>230120.49</v>
          </cell>
          <cell r="O210">
            <v>1515000</v>
          </cell>
          <cell r="P210">
            <v>0.9</v>
          </cell>
          <cell r="Q210">
            <v>1</v>
          </cell>
          <cell r="S210">
            <v>2304</v>
          </cell>
          <cell r="T210">
            <v>43414036</v>
          </cell>
          <cell r="U210">
            <v>155798.68</v>
          </cell>
          <cell r="X210">
            <v>115</v>
          </cell>
          <cell r="Y210">
            <v>8</v>
          </cell>
          <cell r="Z210">
            <v>13</v>
          </cell>
          <cell r="AA210">
            <v>0</v>
          </cell>
          <cell r="AB210">
            <v>132</v>
          </cell>
          <cell r="AC210">
            <v>62</v>
          </cell>
          <cell r="AD210">
            <v>8</v>
          </cell>
          <cell r="AE210">
            <v>2</v>
          </cell>
          <cell r="AF210">
            <v>8</v>
          </cell>
          <cell r="AG210">
            <v>0</v>
          </cell>
          <cell r="AH210">
            <v>0</v>
          </cell>
          <cell r="AI210">
            <v>1160</v>
          </cell>
          <cell r="AJ210">
            <v>1081</v>
          </cell>
          <cell r="AK210">
            <v>757</v>
          </cell>
          <cell r="AL210">
            <v>324</v>
          </cell>
          <cell r="AM210">
            <v>34</v>
          </cell>
        </row>
        <row r="211">
          <cell r="A211">
            <v>204</v>
          </cell>
          <cell r="B211" t="str">
            <v>Reading</v>
          </cell>
          <cell r="C211" t="str">
            <v>E0303</v>
          </cell>
          <cell r="D211">
            <v>3642549</v>
          </cell>
          <cell r="E211">
            <v>5033</v>
          </cell>
          <cell r="F211">
            <v>0</v>
          </cell>
          <cell r="G211">
            <v>43314.86</v>
          </cell>
          <cell r="H211">
            <v>4343847.88</v>
          </cell>
          <cell r="I211">
            <v>16007.29</v>
          </cell>
          <cell r="J211">
            <v>0</v>
          </cell>
          <cell r="K211">
            <v>0</v>
          </cell>
          <cell r="L211">
            <v>0</v>
          </cell>
          <cell r="M211">
            <v>0</v>
          </cell>
          <cell r="N211">
            <v>1849192.45</v>
          </cell>
          <cell r="O211">
            <v>1360794.95</v>
          </cell>
          <cell r="P211">
            <v>1.3</v>
          </cell>
          <cell r="Q211">
            <v>1.0806</v>
          </cell>
          <cell r="S211">
            <v>4892</v>
          </cell>
          <cell r="T211">
            <v>243158467</v>
          </cell>
          <cell r="U211">
            <v>1071868.79</v>
          </cell>
          <cell r="X211">
            <v>255</v>
          </cell>
          <cell r="Y211">
            <v>4</v>
          </cell>
          <cell r="Z211">
            <v>0</v>
          </cell>
          <cell r="AA211">
            <v>4</v>
          </cell>
          <cell r="AB211">
            <v>732</v>
          </cell>
          <cell r="AC211">
            <v>38</v>
          </cell>
          <cell r="AD211">
            <v>0</v>
          </cell>
          <cell r="AE211">
            <v>0</v>
          </cell>
          <cell r="AF211">
            <v>0</v>
          </cell>
          <cell r="AG211">
            <v>0</v>
          </cell>
          <cell r="AH211">
            <v>0</v>
          </cell>
          <cell r="AI211">
            <v>2600</v>
          </cell>
          <cell r="AJ211">
            <v>732</v>
          </cell>
          <cell r="AK211">
            <v>298</v>
          </cell>
          <cell r="AL211">
            <v>434</v>
          </cell>
          <cell r="AM211">
            <v>1549</v>
          </cell>
        </row>
        <row r="212">
          <cell r="A212">
            <v>205</v>
          </cell>
          <cell r="B212" t="str">
            <v>Redbridge</v>
          </cell>
          <cell r="C212" t="str">
            <v>E5046</v>
          </cell>
          <cell r="D212">
            <v>3085347.54</v>
          </cell>
          <cell r="E212">
            <v>37693.4</v>
          </cell>
          <cell r="F212">
            <v>0</v>
          </cell>
          <cell r="G212">
            <v>0</v>
          </cell>
          <cell r="H212">
            <v>1556259.79</v>
          </cell>
          <cell r="I212">
            <v>0</v>
          </cell>
          <cell r="J212">
            <v>11387.59</v>
          </cell>
          <cell r="K212">
            <v>0</v>
          </cell>
          <cell r="L212">
            <v>0</v>
          </cell>
          <cell r="M212">
            <v>0</v>
          </cell>
          <cell r="N212">
            <v>807979.13</v>
          </cell>
          <cell r="O212">
            <v>2594849.4700000002</v>
          </cell>
          <cell r="P212">
            <v>1.5</v>
          </cell>
          <cell r="Q212">
            <v>1.0760000000000001</v>
          </cell>
          <cell r="S212">
            <v>6184</v>
          </cell>
          <cell r="T212">
            <v>137345231</v>
          </cell>
          <cell r="U212">
            <v>778157.21</v>
          </cell>
          <cell r="X212">
            <v>272</v>
          </cell>
          <cell r="Y212">
            <v>12</v>
          </cell>
          <cell r="Z212">
            <v>0</v>
          </cell>
          <cell r="AA212">
            <v>0</v>
          </cell>
          <cell r="AB212">
            <v>615</v>
          </cell>
          <cell r="AC212">
            <v>0</v>
          </cell>
          <cell r="AD212">
            <v>11</v>
          </cell>
          <cell r="AE212">
            <v>0</v>
          </cell>
          <cell r="AF212">
            <v>0</v>
          </cell>
          <cell r="AG212">
            <v>0</v>
          </cell>
          <cell r="AH212">
            <v>0</v>
          </cell>
          <cell r="AI212">
            <v>4125</v>
          </cell>
          <cell r="AJ212">
            <v>1558</v>
          </cell>
          <cell r="AK212">
            <v>637</v>
          </cell>
          <cell r="AL212">
            <v>921</v>
          </cell>
          <cell r="AM212">
            <v>469</v>
          </cell>
        </row>
        <row r="213">
          <cell r="A213">
            <v>206</v>
          </cell>
          <cell r="B213" t="str">
            <v>Redcar and Cleveland</v>
          </cell>
          <cell r="C213" t="str">
            <v>E0703</v>
          </cell>
          <cell r="D213">
            <v>2148893.4900000002</v>
          </cell>
          <cell r="E213">
            <v>60237.99</v>
          </cell>
          <cell r="F213">
            <v>6310.1</v>
          </cell>
          <cell r="G213">
            <v>0</v>
          </cell>
          <cell r="H213">
            <v>615877.54</v>
          </cell>
          <cell r="I213">
            <v>17712.3675</v>
          </cell>
          <cell r="J213">
            <v>78509.655000000013</v>
          </cell>
          <cell r="K213">
            <v>0</v>
          </cell>
          <cell r="L213">
            <v>3418.68</v>
          </cell>
          <cell r="M213">
            <v>545.30999999999995</v>
          </cell>
          <cell r="N213">
            <v>930875.23</v>
          </cell>
          <cell r="O213">
            <v>1955010.36</v>
          </cell>
          <cell r="P213">
            <v>1.3</v>
          </cell>
          <cell r="Q213">
            <v>1</v>
          </cell>
          <cell r="S213">
            <v>3739</v>
          </cell>
          <cell r="T213">
            <v>129101376</v>
          </cell>
          <cell r="U213">
            <v>547798.6</v>
          </cell>
          <cell r="X213">
            <v>188</v>
          </cell>
          <cell r="Y213">
            <v>13</v>
          </cell>
          <cell r="Z213">
            <v>16</v>
          </cell>
          <cell r="AA213">
            <v>0</v>
          </cell>
          <cell r="AB213">
            <v>271</v>
          </cell>
          <cell r="AC213">
            <v>53</v>
          </cell>
          <cell r="AD213">
            <v>222</v>
          </cell>
          <cell r="AE213">
            <v>0</v>
          </cell>
          <cell r="AF213">
            <v>11</v>
          </cell>
          <cell r="AG213">
            <v>2</v>
          </cell>
          <cell r="AH213">
            <v>0</v>
          </cell>
          <cell r="AI213">
            <v>1221</v>
          </cell>
          <cell r="AJ213">
            <v>1266</v>
          </cell>
          <cell r="AK213">
            <v>983</v>
          </cell>
          <cell r="AL213">
            <v>283</v>
          </cell>
          <cell r="AM213">
            <v>1257</v>
          </cell>
        </row>
        <row r="214">
          <cell r="A214">
            <v>207</v>
          </cell>
          <cell r="B214" t="str">
            <v>Redditch</v>
          </cell>
          <cell r="C214" t="str">
            <v>E1835</v>
          </cell>
          <cell r="D214">
            <v>843749.28</v>
          </cell>
          <cell r="E214">
            <v>12411.97</v>
          </cell>
          <cell r="F214">
            <v>1305.3</v>
          </cell>
          <cell r="G214">
            <v>0</v>
          </cell>
          <cell r="H214">
            <v>593524.11</v>
          </cell>
          <cell r="I214">
            <v>10238.76</v>
          </cell>
          <cell r="J214">
            <v>29267.51</v>
          </cell>
          <cell r="K214">
            <v>775.75</v>
          </cell>
          <cell r="L214">
            <v>978.98</v>
          </cell>
          <cell r="M214">
            <v>0</v>
          </cell>
          <cell r="N214">
            <v>601952.64</v>
          </cell>
          <cell r="O214">
            <v>1047899.66</v>
          </cell>
          <cell r="P214">
            <v>0.9</v>
          </cell>
          <cell r="Q214">
            <v>1</v>
          </cell>
          <cell r="S214">
            <v>2416</v>
          </cell>
          <cell r="T214">
            <v>85512416</v>
          </cell>
          <cell r="U214">
            <v>347148.65</v>
          </cell>
          <cell r="X214">
            <v>82</v>
          </cell>
          <cell r="Y214">
            <v>2</v>
          </cell>
          <cell r="Z214">
            <v>1</v>
          </cell>
          <cell r="AA214">
            <v>0</v>
          </cell>
          <cell r="AB214">
            <v>189</v>
          </cell>
          <cell r="AC214">
            <v>57</v>
          </cell>
          <cell r="AD214">
            <v>9</v>
          </cell>
          <cell r="AE214">
            <v>2</v>
          </cell>
          <cell r="AF214">
            <v>1</v>
          </cell>
          <cell r="AG214">
            <v>0</v>
          </cell>
          <cell r="AH214">
            <v>0</v>
          </cell>
          <cell r="AI214">
            <v>1736</v>
          </cell>
          <cell r="AJ214">
            <v>595</v>
          </cell>
          <cell r="AK214">
            <v>364</v>
          </cell>
          <cell r="AL214">
            <v>231</v>
          </cell>
          <cell r="AM214">
            <v>77</v>
          </cell>
        </row>
        <row r="215">
          <cell r="A215">
            <v>208</v>
          </cell>
          <cell r="B215" t="str">
            <v>Reigate and Banstead</v>
          </cell>
          <cell r="C215" t="str">
            <v>E3635</v>
          </cell>
          <cell r="D215">
            <v>2843710</v>
          </cell>
          <cell r="E215">
            <v>61784</v>
          </cell>
          <cell r="F215">
            <v>0</v>
          </cell>
          <cell r="G215">
            <v>0</v>
          </cell>
          <cell r="H215">
            <v>2029392</v>
          </cell>
          <cell r="I215">
            <v>3680</v>
          </cell>
          <cell r="J215">
            <v>3722</v>
          </cell>
          <cell r="K215">
            <v>0</v>
          </cell>
          <cell r="L215">
            <v>0</v>
          </cell>
          <cell r="M215">
            <v>0</v>
          </cell>
          <cell r="N215">
            <v>862767</v>
          </cell>
          <cell r="O215">
            <v>1642134</v>
          </cell>
          <cell r="P215">
            <v>0.9</v>
          </cell>
          <cell r="Q215">
            <v>1.1039000000000001</v>
          </cell>
          <cell r="S215">
            <v>3496</v>
          </cell>
          <cell r="T215">
            <v>121941270</v>
          </cell>
          <cell r="U215">
            <v>466887.63</v>
          </cell>
          <cell r="X215">
            <v>184</v>
          </cell>
          <cell r="Y215">
            <v>20</v>
          </cell>
          <cell r="Z215">
            <v>0</v>
          </cell>
          <cell r="AA215">
            <v>0</v>
          </cell>
          <cell r="AB215">
            <v>409</v>
          </cell>
          <cell r="AC215">
            <v>22</v>
          </cell>
          <cell r="AD215">
            <v>2</v>
          </cell>
          <cell r="AE215">
            <v>0</v>
          </cell>
          <cell r="AF215">
            <v>0</v>
          </cell>
          <cell r="AG215">
            <v>0</v>
          </cell>
          <cell r="AH215">
            <v>0</v>
          </cell>
          <cell r="AI215">
            <v>2621</v>
          </cell>
          <cell r="AJ215">
            <v>869</v>
          </cell>
          <cell r="AK215">
            <v>452</v>
          </cell>
          <cell r="AL215">
            <v>417</v>
          </cell>
          <cell r="AM215">
            <v>95</v>
          </cell>
        </row>
        <row r="216">
          <cell r="A216">
            <v>209</v>
          </cell>
          <cell r="B216" t="str">
            <v>Ribble Valley</v>
          </cell>
          <cell r="C216" t="str">
            <v>E2340</v>
          </cell>
          <cell r="D216">
            <v>772842.2</v>
          </cell>
          <cell r="E216">
            <v>22909.16</v>
          </cell>
          <cell r="F216">
            <v>19374.96</v>
          </cell>
          <cell r="G216">
            <v>31847.24</v>
          </cell>
          <cell r="H216">
            <v>290502.24</v>
          </cell>
          <cell r="I216">
            <v>6553.49</v>
          </cell>
          <cell r="J216">
            <v>7772.63</v>
          </cell>
          <cell r="K216">
            <v>0</v>
          </cell>
          <cell r="L216">
            <v>4123.28</v>
          </cell>
          <cell r="M216">
            <v>1139.06</v>
          </cell>
          <cell r="N216">
            <v>208683.57</v>
          </cell>
          <cell r="O216">
            <v>1494743.99</v>
          </cell>
          <cell r="P216">
            <v>0.9</v>
          </cell>
          <cell r="Q216">
            <v>1</v>
          </cell>
          <cell r="S216">
            <v>2137</v>
          </cell>
          <cell r="T216">
            <v>36645815</v>
          </cell>
          <cell r="U216">
            <v>130168.3</v>
          </cell>
          <cell r="X216">
            <v>113</v>
          </cell>
          <cell r="Y216">
            <v>3</v>
          </cell>
          <cell r="Z216">
            <v>20</v>
          </cell>
          <cell r="AA216">
            <v>1</v>
          </cell>
          <cell r="AB216">
            <v>121</v>
          </cell>
          <cell r="AC216">
            <v>45</v>
          </cell>
          <cell r="AD216">
            <v>5</v>
          </cell>
          <cell r="AE216">
            <v>0</v>
          </cell>
          <cell r="AF216">
            <v>7</v>
          </cell>
          <cell r="AG216">
            <v>1</v>
          </cell>
          <cell r="AH216">
            <v>0</v>
          </cell>
          <cell r="AI216">
            <v>1140</v>
          </cell>
          <cell r="AJ216">
            <v>902</v>
          </cell>
          <cell r="AK216">
            <v>590</v>
          </cell>
          <cell r="AL216">
            <v>312</v>
          </cell>
          <cell r="AM216">
            <v>63</v>
          </cell>
        </row>
        <row r="217">
          <cell r="A217">
            <v>210</v>
          </cell>
          <cell r="B217" t="str">
            <v>Richmond upon Thames</v>
          </cell>
          <cell r="C217" t="str">
            <v>E5047</v>
          </cell>
          <cell r="D217">
            <v>6698058.54</v>
          </cell>
          <cell r="E217">
            <v>48368.46</v>
          </cell>
          <cell r="F217">
            <v>0</v>
          </cell>
          <cell r="G217">
            <v>0</v>
          </cell>
          <cell r="H217">
            <v>3371099.09</v>
          </cell>
          <cell r="I217">
            <v>63407.93</v>
          </cell>
          <cell r="J217">
            <v>118923.53</v>
          </cell>
          <cell r="K217">
            <v>933.18</v>
          </cell>
          <cell r="L217">
            <v>0</v>
          </cell>
          <cell r="M217">
            <v>0</v>
          </cell>
          <cell r="N217">
            <v>1347121.84</v>
          </cell>
          <cell r="O217">
            <v>1788163.23</v>
          </cell>
          <cell r="P217">
            <v>1.5</v>
          </cell>
          <cell r="Q217">
            <v>1.1113</v>
          </cell>
          <cell r="S217">
            <v>5964</v>
          </cell>
          <cell r="T217">
            <v>206335665</v>
          </cell>
          <cell r="U217">
            <v>1167640.82</v>
          </cell>
          <cell r="X217">
            <v>279</v>
          </cell>
          <cell r="Y217">
            <v>10</v>
          </cell>
          <cell r="Z217">
            <v>0</v>
          </cell>
          <cell r="AA217">
            <v>0</v>
          </cell>
          <cell r="AB217">
            <v>463</v>
          </cell>
          <cell r="AC217">
            <v>97</v>
          </cell>
          <cell r="AD217">
            <v>42</v>
          </cell>
          <cell r="AE217">
            <v>2</v>
          </cell>
          <cell r="AF217">
            <v>0</v>
          </cell>
          <cell r="AG217">
            <v>0</v>
          </cell>
          <cell r="AH217">
            <v>0</v>
          </cell>
          <cell r="AI217">
            <v>4372</v>
          </cell>
          <cell r="AJ217">
            <v>1023</v>
          </cell>
          <cell r="AK217">
            <v>338</v>
          </cell>
          <cell r="AL217">
            <v>685</v>
          </cell>
          <cell r="AM217">
            <v>607</v>
          </cell>
        </row>
        <row r="218">
          <cell r="A218">
            <v>211</v>
          </cell>
          <cell r="B218" t="str">
            <v>Richmondshire</v>
          </cell>
          <cell r="C218" t="str">
            <v>E2734</v>
          </cell>
          <cell r="D218">
            <v>500544.78</v>
          </cell>
          <cell r="E218">
            <v>31913.439999999999</v>
          </cell>
          <cell r="F218">
            <v>41228.879999999997</v>
          </cell>
          <cell r="G218">
            <v>0</v>
          </cell>
          <cell r="H218">
            <v>316671.42</v>
          </cell>
          <cell r="I218">
            <v>11934.75</v>
          </cell>
          <cell r="J218">
            <v>10308.25</v>
          </cell>
          <cell r="K218">
            <v>0</v>
          </cell>
          <cell r="L218">
            <v>15223.56</v>
          </cell>
          <cell r="M218">
            <v>7162.26</v>
          </cell>
          <cell r="N218">
            <v>194467.53</v>
          </cell>
          <cell r="O218">
            <v>1394198.53</v>
          </cell>
          <cell r="P218">
            <v>0.9</v>
          </cell>
          <cell r="Q218">
            <v>1</v>
          </cell>
          <cell r="S218">
            <v>2472</v>
          </cell>
          <cell r="T218">
            <v>33309837</v>
          </cell>
          <cell r="U218">
            <v>120487.93</v>
          </cell>
          <cell r="X218">
            <v>132</v>
          </cell>
          <cell r="Y218">
            <v>3</v>
          </cell>
          <cell r="Z218">
            <v>41</v>
          </cell>
          <cell r="AA218">
            <v>0</v>
          </cell>
          <cell r="AB218">
            <v>206</v>
          </cell>
          <cell r="AC218">
            <v>59</v>
          </cell>
          <cell r="AD218">
            <v>27</v>
          </cell>
          <cell r="AE218">
            <v>0</v>
          </cell>
          <cell r="AF218">
            <v>32</v>
          </cell>
          <cell r="AG218">
            <v>6</v>
          </cell>
          <cell r="AH218">
            <v>0</v>
          </cell>
          <cell r="AI218">
            <v>1461</v>
          </cell>
          <cell r="AJ218">
            <v>996</v>
          </cell>
          <cell r="AK218">
            <v>831</v>
          </cell>
          <cell r="AL218">
            <v>165</v>
          </cell>
          <cell r="AM218">
            <v>30</v>
          </cell>
        </row>
        <row r="219">
          <cell r="A219">
            <v>212</v>
          </cell>
          <cell r="B219" t="str">
            <v>Rochdale</v>
          </cell>
          <cell r="C219" t="str">
            <v>E4205</v>
          </cell>
          <cell r="D219">
            <v>2454072</v>
          </cell>
          <cell r="E219">
            <v>88070</v>
          </cell>
          <cell r="F219">
            <v>0</v>
          </cell>
          <cell r="G219">
            <v>120000</v>
          </cell>
          <cell r="H219">
            <v>3187682</v>
          </cell>
          <cell r="I219">
            <v>81921</v>
          </cell>
          <cell r="J219">
            <v>46677</v>
          </cell>
          <cell r="K219">
            <v>3498</v>
          </cell>
          <cell r="L219">
            <v>0</v>
          </cell>
          <cell r="M219">
            <v>0</v>
          </cell>
          <cell r="N219">
            <v>1310488</v>
          </cell>
          <cell r="O219">
            <v>3847822</v>
          </cell>
          <cell r="P219">
            <v>1.7</v>
          </cell>
          <cell r="Q219">
            <v>1.0168999999999999</v>
          </cell>
          <cell r="S219">
            <v>6546</v>
          </cell>
          <cell r="T219">
            <v>165799425</v>
          </cell>
          <cell r="U219">
            <v>875065.66</v>
          </cell>
          <cell r="X219">
            <v>292</v>
          </cell>
          <cell r="Y219">
            <v>12</v>
          </cell>
          <cell r="Z219">
            <v>0</v>
          </cell>
          <cell r="AA219">
            <v>1</v>
          </cell>
          <cell r="AB219">
            <v>1042</v>
          </cell>
          <cell r="AC219">
            <v>95</v>
          </cell>
          <cell r="AD219">
            <v>14</v>
          </cell>
          <cell r="AE219">
            <v>10</v>
          </cell>
          <cell r="AF219">
            <v>0</v>
          </cell>
          <cell r="AG219">
            <v>0</v>
          </cell>
          <cell r="AH219">
            <v>0</v>
          </cell>
          <cell r="AI219">
            <v>4160</v>
          </cell>
          <cell r="AJ219">
            <v>2155</v>
          </cell>
          <cell r="AK219">
            <v>1429</v>
          </cell>
          <cell r="AL219">
            <v>726</v>
          </cell>
          <cell r="AM219">
            <v>175</v>
          </cell>
        </row>
        <row r="220">
          <cell r="A220">
            <v>213</v>
          </cell>
          <cell r="B220" t="str">
            <v>Rochford</v>
          </cell>
          <cell r="C220" t="str">
            <v>E1540</v>
          </cell>
          <cell r="D220">
            <v>860289.46</v>
          </cell>
          <cell r="E220">
            <v>7159.62</v>
          </cell>
          <cell r="F220">
            <v>246.17</v>
          </cell>
          <cell r="G220">
            <v>0</v>
          </cell>
          <cell r="H220">
            <v>493204.57</v>
          </cell>
          <cell r="I220">
            <v>8863.65</v>
          </cell>
          <cell r="J220">
            <v>0</v>
          </cell>
          <cell r="K220">
            <v>48.09</v>
          </cell>
          <cell r="L220">
            <v>184.63</v>
          </cell>
          <cell r="M220">
            <v>0</v>
          </cell>
          <cell r="N220">
            <v>246936.4</v>
          </cell>
          <cell r="O220">
            <v>1251607.1299999999</v>
          </cell>
          <cell r="P220">
            <v>0.9</v>
          </cell>
          <cell r="Q220">
            <v>1.0129999999999999</v>
          </cell>
          <cell r="S220">
            <v>2044</v>
          </cell>
          <cell r="T220">
            <v>41195555</v>
          </cell>
          <cell r="U220">
            <v>150195.59</v>
          </cell>
          <cell r="X220">
            <v>95</v>
          </cell>
          <cell r="Y220">
            <v>3</v>
          </cell>
          <cell r="Z220">
            <v>1</v>
          </cell>
          <cell r="AA220">
            <v>0</v>
          </cell>
          <cell r="AB220">
            <v>213</v>
          </cell>
          <cell r="AC220">
            <v>45</v>
          </cell>
          <cell r="AD220">
            <v>0</v>
          </cell>
          <cell r="AE220">
            <v>1</v>
          </cell>
          <cell r="AF220">
            <v>1</v>
          </cell>
          <cell r="AG220">
            <v>0</v>
          </cell>
          <cell r="AH220">
            <v>0</v>
          </cell>
          <cell r="AI220">
            <v>685</v>
          </cell>
          <cell r="AJ220">
            <v>694</v>
          </cell>
          <cell r="AK220">
            <v>392</v>
          </cell>
          <cell r="AL220">
            <v>302</v>
          </cell>
          <cell r="AM220">
            <v>664</v>
          </cell>
        </row>
        <row r="221">
          <cell r="A221">
            <v>214</v>
          </cell>
          <cell r="B221" t="str">
            <v>Rossendale</v>
          </cell>
          <cell r="C221" t="str">
            <v>E2341</v>
          </cell>
          <cell r="D221">
            <v>426694.26</v>
          </cell>
          <cell r="E221">
            <v>44954.94</v>
          </cell>
          <cell r="F221">
            <v>0</v>
          </cell>
          <cell r="G221">
            <v>51960</v>
          </cell>
          <cell r="H221">
            <v>1024331</v>
          </cell>
          <cell r="I221">
            <v>10141.69</v>
          </cell>
          <cell r="J221">
            <v>17003.439999999999</v>
          </cell>
          <cell r="K221">
            <v>749.17</v>
          </cell>
          <cell r="L221">
            <v>296.02999999999997</v>
          </cell>
          <cell r="M221">
            <v>0</v>
          </cell>
          <cell r="N221">
            <v>223851.42</v>
          </cell>
          <cell r="O221">
            <v>1578256</v>
          </cell>
          <cell r="P221">
            <v>0.9</v>
          </cell>
          <cell r="Q221">
            <v>1</v>
          </cell>
          <cell r="S221">
            <v>2575</v>
          </cell>
          <cell r="T221">
            <v>36384770</v>
          </cell>
          <cell r="U221">
            <v>127319.08</v>
          </cell>
          <cell r="X221">
            <v>79</v>
          </cell>
          <cell r="Y221">
            <v>12</v>
          </cell>
          <cell r="Z221">
            <v>0</v>
          </cell>
          <cell r="AA221">
            <v>0</v>
          </cell>
          <cell r="AB221">
            <v>511</v>
          </cell>
          <cell r="AC221">
            <v>42</v>
          </cell>
          <cell r="AD221">
            <v>18</v>
          </cell>
          <cell r="AE221">
            <v>8</v>
          </cell>
          <cell r="AF221">
            <v>1</v>
          </cell>
          <cell r="AG221">
            <v>0</v>
          </cell>
          <cell r="AH221">
            <v>0</v>
          </cell>
          <cell r="AI221">
            <v>1525</v>
          </cell>
          <cell r="AJ221">
            <v>1001</v>
          </cell>
          <cell r="AK221">
            <v>779</v>
          </cell>
          <cell r="AL221">
            <v>222</v>
          </cell>
          <cell r="AM221">
            <v>59</v>
          </cell>
        </row>
        <row r="222">
          <cell r="A222">
            <v>215</v>
          </cell>
          <cell r="B222" t="str">
            <v>Rother</v>
          </cell>
          <cell r="C222" t="str">
            <v>E1436</v>
          </cell>
          <cell r="D222">
            <v>1412215.46</v>
          </cell>
          <cell r="E222">
            <v>62965.84</v>
          </cell>
          <cell r="F222">
            <v>28472.34</v>
          </cell>
          <cell r="G222">
            <v>7662.04</v>
          </cell>
          <cell r="H222">
            <v>463705.16</v>
          </cell>
          <cell r="I222">
            <v>6655.66</v>
          </cell>
          <cell r="J222">
            <v>0</v>
          </cell>
          <cell r="K222">
            <v>1347.21</v>
          </cell>
          <cell r="L222">
            <v>7721.65</v>
          </cell>
          <cell r="M222">
            <v>0</v>
          </cell>
          <cell r="N222">
            <v>265352.7</v>
          </cell>
          <cell r="O222">
            <v>2146347.7999999998</v>
          </cell>
          <cell r="P222">
            <v>0.9</v>
          </cell>
          <cell r="Q222">
            <v>1.0089999999999999</v>
          </cell>
          <cell r="S222">
            <v>3460</v>
          </cell>
          <cell r="T222">
            <v>47027675</v>
          </cell>
          <cell r="U222">
            <v>161646.51</v>
          </cell>
          <cell r="X222">
            <v>201</v>
          </cell>
          <cell r="Y222">
            <v>26</v>
          </cell>
          <cell r="Z222">
            <v>22</v>
          </cell>
          <cell r="AA222">
            <v>2</v>
          </cell>
          <cell r="AB222">
            <v>327</v>
          </cell>
          <cell r="AC222">
            <v>55</v>
          </cell>
          <cell r="AD222">
            <v>0</v>
          </cell>
          <cell r="AE222">
            <v>16</v>
          </cell>
          <cell r="AF222">
            <v>9</v>
          </cell>
          <cell r="AG222">
            <v>0</v>
          </cell>
          <cell r="AH222">
            <v>0</v>
          </cell>
          <cell r="AI222">
            <v>974</v>
          </cell>
          <cell r="AJ222">
            <v>1382</v>
          </cell>
          <cell r="AK222">
            <v>967</v>
          </cell>
          <cell r="AL222">
            <v>415</v>
          </cell>
          <cell r="AM222">
            <v>1070</v>
          </cell>
        </row>
        <row r="223">
          <cell r="A223">
            <v>216</v>
          </cell>
          <cell r="B223" t="str">
            <v>Rotherham</v>
          </cell>
          <cell r="C223" t="str">
            <v>E4403</v>
          </cell>
          <cell r="D223">
            <v>2592481.9</v>
          </cell>
          <cell r="E223">
            <v>31059.66</v>
          </cell>
          <cell r="F223">
            <v>12694.88</v>
          </cell>
          <cell r="G223">
            <v>300000</v>
          </cell>
          <cell r="H223">
            <v>2069737.48</v>
          </cell>
          <cell r="I223">
            <v>22741.07</v>
          </cell>
          <cell r="J223">
            <v>400097.18</v>
          </cell>
          <cell r="K223">
            <v>1351.55</v>
          </cell>
          <cell r="L223">
            <v>0</v>
          </cell>
          <cell r="M223">
            <v>0</v>
          </cell>
          <cell r="N223">
            <v>1385832.13</v>
          </cell>
          <cell r="O223">
            <v>3945853.7</v>
          </cell>
          <cell r="P223">
            <v>1.7</v>
          </cell>
          <cell r="Q223">
            <v>1</v>
          </cell>
          <cell r="S223">
            <v>7185</v>
          </cell>
          <cell r="T223">
            <v>188051498</v>
          </cell>
          <cell r="U223">
            <v>1001261.84</v>
          </cell>
          <cell r="X223">
            <v>275</v>
          </cell>
          <cell r="Y223">
            <v>11</v>
          </cell>
          <cell r="Z223">
            <v>0</v>
          </cell>
          <cell r="AA223">
            <v>4</v>
          </cell>
          <cell r="AB223">
            <v>616</v>
          </cell>
          <cell r="AC223">
            <v>56</v>
          </cell>
          <cell r="AD223">
            <v>37</v>
          </cell>
          <cell r="AE223">
            <v>10</v>
          </cell>
          <cell r="AF223">
            <v>0</v>
          </cell>
          <cell r="AG223">
            <v>0</v>
          </cell>
          <cell r="AH223">
            <v>58</v>
          </cell>
          <cell r="AI223">
            <v>4672</v>
          </cell>
          <cell r="AJ223">
            <v>2447</v>
          </cell>
          <cell r="AK223">
            <v>1835</v>
          </cell>
          <cell r="AL223">
            <v>612</v>
          </cell>
          <cell r="AM223">
            <v>137</v>
          </cell>
        </row>
        <row r="224">
          <cell r="A224">
            <v>217</v>
          </cell>
          <cell r="B224" t="str">
            <v>Rugby</v>
          </cell>
          <cell r="C224" t="str">
            <v>E3733</v>
          </cell>
          <cell r="D224">
            <v>2176008.11</v>
          </cell>
          <cell r="E224">
            <v>66284.710000000006</v>
          </cell>
          <cell r="F224">
            <v>8008.97</v>
          </cell>
          <cell r="G224">
            <v>280000</v>
          </cell>
          <cell r="H224">
            <v>1911248.4</v>
          </cell>
          <cell r="I224">
            <v>11435.45</v>
          </cell>
          <cell r="J224">
            <v>78318</v>
          </cell>
          <cell r="K224">
            <v>174.15</v>
          </cell>
          <cell r="L224">
            <v>609.47</v>
          </cell>
          <cell r="M224">
            <v>0</v>
          </cell>
          <cell r="N224">
            <v>718865.46</v>
          </cell>
          <cell r="O224">
            <v>1432818.08</v>
          </cell>
          <cell r="P224">
            <v>0.9</v>
          </cell>
          <cell r="Q224">
            <v>1.0213000000000001</v>
          </cell>
          <cell r="S224">
            <v>2856</v>
          </cell>
          <cell r="T224">
            <v>102192252</v>
          </cell>
          <cell r="U224">
            <v>384579.44</v>
          </cell>
          <cell r="X224">
            <v>160</v>
          </cell>
          <cell r="Y224">
            <v>11</v>
          </cell>
          <cell r="Z224">
            <v>9</v>
          </cell>
          <cell r="AA224">
            <v>8</v>
          </cell>
          <cell r="AB224">
            <v>157</v>
          </cell>
          <cell r="AC224">
            <v>66</v>
          </cell>
          <cell r="AD224">
            <v>2</v>
          </cell>
          <cell r="AE224">
            <v>1</v>
          </cell>
          <cell r="AF224">
            <v>2</v>
          </cell>
          <cell r="AG224">
            <v>0</v>
          </cell>
          <cell r="AH224">
            <v>0</v>
          </cell>
          <cell r="AI224">
            <v>1920</v>
          </cell>
          <cell r="AJ224">
            <v>871</v>
          </cell>
          <cell r="AK224">
            <v>594</v>
          </cell>
          <cell r="AL224">
            <v>277</v>
          </cell>
          <cell r="AM224">
            <v>69</v>
          </cell>
        </row>
        <row r="225">
          <cell r="A225">
            <v>218</v>
          </cell>
          <cell r="B225" t="str">
            <v>Runnymede</v>
          </cell>
          <cell r="C225" t="str">
            <v>E3636</v>
          </cell>
          <cell r="D225">
            <v>2632168.11</v>
          </cell>
          <cell r="E225">
            <v>34700.800000000003</v>
          </cell>
          <cell r="F225">
            <v>1575</v>
          </cell>
          <cell r="G225">
            <v>0</v>
          </cell>
          <cell r="H225">
            <v>1476232.04</v>
          </cell>
          <cell r="I225">
            <v>5645.99</v>
          </cell>
          <cell r="J225">
            <v>492.35</v>
          </cell>
          <cell r="K225">
            <v>0</v>
          </cell>
          <cell r="L225">
            <v>1723.14</v>
          </cell>
          <cell r="M225">
            <v>0</v>
          </cell>
          <cell r="N225">
            <v>783902.48</v>
          </cell>
          <cell r="O225">
            <v>1047957.2</v>
          </cell>
          <cell r="P225">
            <v>0.9</v>
          </cell>
          <cell r="Q225">
            <v>1.1039000000000001</v>
          </cell>
          <cell r="S225">
            <v>2354</v>
          </cell>
          <cell r="T225">
            <v>106690095</v>
          </cell>
          <cell r="U225">
            <v>416772.27</v>
          </cell>
          <cell r="X225">
            <v>104</v>
          </cell>
          <cell r="Y225">
            <v>11</v>
          </cell>
          <cell r="Z225">
            <v>1</v>
          </cell>
          <cell r="AA225">
            <v>0</v>
          </cell>
          <cell r="AB225">
            <v>285</v>
          </cell>
          <cell r="AC225">
            <v>29</v>
          </cell>
          <cell r="AD225">
            <v>3</v>
          </cell>
          <cell r="AE225">
            <v>0</v>
          </cell>
          <cell r="AF225">
            <v>1</v>
          </cell>
          <cell r="AG225">
            <v>0</v>
          </cell>
          <cell r="AH225">
            <v>0</v>
          </cell>
          <cell r="AI225">
            <v>1040</v>
          </cell>
          <cell r="AJ225">
            <v>578</v>
          </cell>
          <cell r="AK225">
            <v>289</v>
          </cell>
          <cell r="AL225">
            <v>289</v>
          </cell>
          <cell r="AM225">
            <v>724</v>
          </cell>
        </row>
        <row r="226">
          <cell r="A226">
            <v>219</v>
          </cell>
          <cell r="B226" t="str">
            <v>Rushcliffe</v>
          </cell>
          <cell r="C226" t="str">
            <v>E3038</v>
          </cell>
          <cell r="D226">
            <v>2288236.73</v>
          </cell>
          <cell r="E226">
            <v>68563.33</v>
          </cell>
          <cell r="F226">
            <v>10634.75</v>
          </cell>
          <cell r="G226">
            <v>0</v>
          </cell>
          <cell r="H226">
            <v>474496.48</v>
          </cell>
          <cell r="I226">
            <v>5527.71</v>
          </cell>
          <cell r="J226">
            <v>238320.3</v>
          </cell>
          <cell r="K226">
            <v>0</v>
          </cell>
          <cell r="L226">
            <v>1641.09</v>
          </cell>
          <cell r="M226">
            <v>615.16</v>
          </cell>
          <cell r="N226">
            <v>488862.93</v>
          </cell>
          <cell r="O226">
            <v>1530263.48</v>
          </cell>
          <cell r="P226">
            <v>0.9</v>
          </cell>
          <cell r="Q226">
            <v>1.0121</v>
          </cell>
          <cell r="S226">
            <v>2488</v>
          </cell>
          <cell r="T226">
            <v>71276058</v>
          </cell>
          <cell r="U226">
            <v>231817.9</v>
          </cell>
          <cell r="X226">
            <v>137</v>
          </cell>
          <cell r="Y226">
            <v>15</v>
          </cell>
          <cell r="Z226">
            <v>14</v>
          </cell>
          <cell r="AA226">
            <v>0</v>
          </cell>
          <cell r="AB226">
            <v>189</v>
          </cell>
          <cell r="AC226">
            <v>66</v>
          </cell>
          <cell r="AD226">
            <v>34</v>
          </cell>
          <cell r="AE226">
            <v>0</v>
          </cell>
          <cell r="AF226">
            <v>5</v>
          </cell>
          <cell r="AG226">
            <v>0</v>
          </cell>
          <cell r="AH226">
            <v>0</v>
          </cell>
          <cell r="AI226">
            <v>1546</v>
          </cell>
          <cell r="AJ226">
            <v>932</v>
          </cell>
          <cell r="AK226">
            <v>656</v>
          </cell>
          <cell r="AL226">
            <v>276</v>
          </cell>
          <cell r="AM226">
            <v>43</v>
          </cell>
        </row>
        <row r="227">
          <cell r="A227">
            <v>220</v>
          </cell>
          <cell r="B227" t="str">
            <v>Rushmoor</v>
          </cell>
          <cell r="C227" t="str">
            <v>E1740</v>
          </cell>
          <cell r="D227">
            <v>1250421.49</v>
          </cell>
          <cell r="E227">
            <v>9269.92</v>
          </cell>
          <cell r="F227">
            <v>0</v>
          </cell>
          <cell r="G227">
            <v>0</v>
          </cell>
          <cell r="H227">
            <v>1735296.78</v>
          </cell>
          <cell r="I227">
            <v>10711.42</v>
          </cell>
          <cell r="J227">
            <v>203690.99</v>
          </cell>
          <cell r="K227">
            <v>579.37</v>
          </cell>
          <cell r="L227">
            <v>0</v>
          </cell>
          <cell r="M227">
            <v>0</v>
          </cell>
          <cell r="N227">
            <v>781263.48</v>
          </cell>
          <cell r="O227">
            <v>994007.83</v>
          </cell>
          <cell r="P227">
            <v>0.9</v>
          </cell>
          <cell r="Q227">
            <v>1.036</v>
          </cell>
          <cell r="S227">
            <v>2466</v>
          </cell>
          <cell r="T227">
            <v>106353340</v>
          </cell>
          <cell r="U227">
            <v>430196.95</v>
          </cell>
          <cell r="X227">
            <v>91</v>
          </cell>
          <cell r="Y227">
            <v>4</v>
          </cell>
          <cell r="Z227">
            <v>0</v>
          </cell>
          <cell r="AA227">
            <v>0</v>
          </cell>
          <cell r="AB227">
            <v>337</v>
          </cell>
          <cell r="AC227">
            <v>43</v>
          </cell>
          <cell r="AD227">
            <v>10</v>
          </cell>
          <cell r="AE227">
            <v>4</v>
          </cell>
          <cell r="AF227">
            <v>0</v>
          </cell>
          <cell r="AG227">
            <v>0</v>
          </cell>
          <cell r="AH227">
            <v>0</v>
          </cell>
          <cell r="AI227">
            <v>1789</v>
          </cell>
          <cell r="AJ227">
            <v>531</v>
          </cell>
          <cell r="AK227">
            <v>297</v>
          </cell>
          <cell r="AL227">
            <v>234</v>
          </cell>
          <cell r="AM227">
            <v>109</v>
          </cell>
        </row>
        <row r="228">
          <cell r="A228">
            <v>221</v>
          </cell>
          <cell r="B228" t="str">
            <v>Rutland</v>
          </cell>
          <cell r="C228" t="str">
            <v>E2402</v>
          </cell>
          <cell r="D228">
            <v>889138.02</v>
          </cell>
          <cell r="E228">
            <v>11450</v>
          </cell>
          <cell r="F228">
            <v>8153.9</v>
          </cell>
          <cell r="G228">
            <v>281.92</v>
          </cell>
          <cell r="H228">
            <v>146026.39000000001</v>
          </cell>
          <cell r="I228">
            <v>5115.71</v>
          </cell>
          <cell r="J228">
            <v>115835.49</v>
          </cell>
          <cell r="K228">
            <v>0</v>
          </cell>
          <cell r="L228">
            <v>6115.4</v>
          </cell>
          <cell r="M228">
            <v>1329.35</v>
          </cell>
          <cell r="N228">
            <v>190556.86</v>
          </cell>
          <cell r="O228">
            <v>709766.8</v>
          </cell>
          <cell r="P228">
            <v>1.3</v>
          </cell>
          <cell r="Q228">
            <v>1</v>
          </cell>
          <cell r="S228">
            <v>1294</v>
          </cell>
          <cell r="T228">
            <v>25730807</v>
          </cell>
          <cell r="U228">
            <v>104842.89</v>
          </cell>
          <cell r="X228">
            <v>71</v>
          </cell>
          <cell r="Y228">
            <v>3</v>
          </cell>
          <cell r="Z228">
            <v>10</v>
          </cell>
          <cell r="AA228">
            <v>1</v>
          </cell>
          <cell r="AB228">
            <v>63</v>
          </cell>
          <cell r="AC228">
            <v>39</v>
          </cell>
          <cell r="AD228">
            <v>29</v>
          </cell>
          <cell r="AE228">
            <v>0</v>
          </cell>
          <cell r="AF228">
            <v>11</v>
          </cell>
          <cell r="AG228">
            <v>2</v>
          </cell>
          <cell r="AH228">
            <v>0</v>
          </cell>
          <cell r="AI228">
            <v>817</v>
          </cell>
          <cell r="AJ228">
            <v>436</v>
          </cell>
          <cell r="AK228">
            <v>334</v>
          </cell>
          <cell r="AL228">
            <v>102</v>
          </cell>
          <cell r="AM228">
            <v>30</v>
          </cell>
        </row>
        <row r="229">
          <cell r="A229">
            <v>222</v>
          </cell>
          <cell r="B229" t="str">
            <v>Ryedale</v>
          </cell>
          <cell r="C229" t="str">
            <v>E2755</v>
          </cell>
          <cell r="D229">
            <v>771087.16</v>
          </cell>
          <cell r="E229">
            <v>24080</v>
          </cell>
          <cell r="F229">
            <v>30590.77</v>
          </cell>
          <cell r="G229">
            <v>0</v>
          </cell>
          <cell r="H229">
            <v>417932</v>
          </cell>
          <cell r="I229">
            <v>20590.09</v>
          </cell>
          <cell r="J229">
            <v>57727.94</v>
          </cell>
          <cell r="K229">
            <v>0</v>
          </cell>
          <cell r="L229">
            <v>13558.91</v>
          </cell>
          <cell r="M229">
            <v>0</v>
          </cell>
          <cell r="N229">
            <v>254942.21</v>
          </cell>
          <cell r="O229">
            <v>1718201.75</v>
          </cell>
          <cell r="P229">
            <v>0.9</v>
          </cell>
          <cell r="Q229">
            <v>1</v>
          </cell>
          <cell r="S229">
            <v>2812</v>
          </cell>
          <cell r="T229">
            <v>42958875</v>
          </cell>
          <cell r="U229">
            <v>154205.21</v>
          </cell>
          <cell r="X229">
            <v>176</v>
          </cell>
          <cell r="Y229">
            <v>2</v>
          </cell>
          <cell r="Z229">
            <v>29</v>
          </cell>
          <cell r="AA229">
            <v>0</v>
          </cell>
          <cell r="AB229">
            <v>126</v>
          </cell>
          <cell r="AC229">
            <v>147</v>
          </cell>
          <cell r="AD229">
            <v>56</v>
          </cell>
          <cell r="AE229">
            <v>0</v>
          </cell>
          <cell r="AF229">
            <v>2</v>
          </cell>
          <cell r="AG229">
            <v>0</v>
          </cell>
          <cell r="AH229">
            <v>0</v>
          </cell>
          <cell r="AI229">
            <v>1467</v>
          </cell>
          <cell r="AJ229">
            <v>1159</v>
          </cell>
          <cell r="AK229">
            <v>865</v>
          </cell>
          <cell r="AL229">
            <v>294</v>
          </cell>
          <cell r="AM229">
            <v>159</v>
          </cell>
        </row>
        <row r="230">
          <cell r="A230">
            <v>223</v>
          </cell>
          <cell r="B230" t="str">
            <v>Salford</v>
          </cell>
          <cell r="C230" t="str">
            <v>E4206</v>
          </cell>
          <cell r="D230">
            <v>5202168.4400000004</v>
          </cell>
          <cell r="E230">
            <v>73773.570000000007</v>
          </cell>
          <cell r="F230">
            <v>0</v>
          </cell>
          <cell r="G230">
            <v>293124.7</v>
          </cell>
          <cell r="H230">
            <v>7245964.0999999996</v>
          </cell>
          <cell r="I230">
            <v>101090.24000000001</v>
          </cell>
          <cell r="J230">
            <v>137613.56</v>
          </cell>
          <cell r="K230">
            <v>1092.73</v>
          </cell>
          <cell r="L230">
            <v>0</v>
          </cell>
          <cell r="M230">
            <v>0</v>
          </cell>
          <cell r="N230">
            <v>1412293.12</v>
          </cell>
          <cell r="O230">
            <v>3273006.27</v>
          </cell>
          <cell r="P230">
            <v>1.7</v>
          </cell>
          <cell r="Q230">
            <v>1.0168999999999999</v>
          </cell>
          <cell r="S230">
            <v>10273</v>
          </cell>
          <cell r="T230">
            <v>233786760</v>
          </cell>
          <cell r="U230">
            <v>1166795.8899999999</v>
          </cell>
          <cell r="X230">
            <v>342</v>
          </cell>
          <cell r="Y230">
            <v>9</v>
          </cell>
          <cell r="Z230">
            <v>0</v>
          </cell>
          <cell r="AA230">
            <v>12</v>
          </cell>
          <cell r="AB230">
            <v>3000</v>
          </cell>
          <cell r="AC230">
            <v>156</v>
          </cell>
          <cell r="AD230">
            <v>77</v>
          </cell>
          <cell r="AE230">
            <v>5</v>
          </cell>
          <cell r="AF230">
            <v>0</v>
          </cell>
          <cell r="AG230">
            <v>0</v>
          </cell>
          <cell r="AH230">
            <v>0</v>
          </cell>
          <cell r="AI230">
            <v>8270</v>
          </cell>
          <cell r="AJ230">
            <v>1855</v>
          </cell>
          <cell r="AK230">
            <v>1149</v>
          </cell>
          <cell r="AL230">
            <v>706</v>
          </cell>
          <cell r="AM230">
            <v>58</v>
          </cell>
        </row>
        <row r="231">
          <cell r="A231">
            <v>224</v>
          </cell>
          <cell r="B231" t="str">
            <v>Sandwell</v>
          </cell>
          <cell r="C231" t="str">
            <v>E4604</v>
          </cell>
          <cell r="D231">
            <v>3612079.1</v>
          </cell>
          <cell r="E231">
            <v>89016.88</v>
          </cell>
          <cell r="F231">
            <v>0</v>
          </cell>
          <cell r="G231">
            <v>230858.56</v>
          </cell>
          <cell r="H231">
            <v>6336851</v>
          </cell>
          <cell r="I231">
            <v>103523.43</v>
          </cell>
          <cell r="J231">
            <v>89248.02</v>
          </cell>
          <cell r="K231">
            <v>0</v>
          </cell>
          <cell r="L231">
            <v>0</v>
          </cell>
          <cell r="M231">
            <v>0</v>
          </cell>
          <cell r="N231">
            <v>1829154.6</v>
          </cell>
          <cell r="O231">
            <v>4229703.38</v>
          </cell>
          <cell r="P231">
            <v>1.7</v>
          </cell>
          <cell r="Q231">
            <v>1.0134000000000001</v>
          </cell>
          <cell r="S231">
            <v>10152</v>
          </cell>
          <cell r="T231">
            <v>249470107</v>
          </cell>
          <cell r="U231">
            <v>1310900.1599999999</v>
          </cell>
          <cell r="X231">
            <v>287</v>
          </cell>
          <cell r="Y231">
            <v>8</v>
          </cell>
          <cell r="Z231">
            <v>0</v>
          </cell>
          <cell r="AA231">
            <v>25</v>
          </cell>
          <cell r="AB231">
            <v>1709</v>
          </cell>
          <cell r="AC231">
            <v>165</v>
          </cell>
          <cell r="AD231">
            <v>22</v>
          </cell>
          <cell r="AE231">
            <v>0</v>
          </cell>
          <cell r="AF231">
            <v>0</v>
          </cell>
          <cell r="AG231">
            <v>0</v>
          </cell>
          <cell r="AH231">
            <v>0</v>
          </cell>
          <cell r="AI231">
            <v>6903</v>
          </cell>
          <cell r="AJ231">
            <v>3107</v>
          </cell>
          <cell r="AK231">
            <v>2020</v>
          </cell>
          <cell r="AL231">
            <v>1087</v>
          </cell>
          <cell r="AM231">
            <v>86</v>
          </cell>
        </row>
        <row r="232">
          <cell r="A232">
            <v>225</v>
          </cell>
          <cell r="B232" t="str">
            <v>Scarborough</v>
          </cell>
          <cell r="C232" t="str">
            <v>E2736</v>
          </cell>
          <cell r="D232">
            <v>1313086.4099999999</v>
          </cell>
          <cell r="E232">
            <v>144379.6</v>
          </cell>
          <cell r="F232">
            <v>23757.63</v>
          </cell>
          <cell r="G232">
            <v>107281.23</v>
          </cell>
          <cell r="H232">
            <v>623871</v>
          </cell>
          <cell r="I232">
            <v>29603.74</v>
          </cell>
          <cell r="J232">
            <v>54847.55</v>
          </cell>
          <cell r="K232">
            <v>0</v>
          </cell>
          <cell r="L232">
            <v>860.63</v>
          </cell>
          <cell r="M232">
            <v>0</v>
          </cell>
          <cell r="N232">
            <v>508456.98</v>
          </cell>
          <cell r="O232">
            <v>3951539.25</v>
          </cell>
          <cell r="P232">
            <v>0.9</v>
          </cell>
          <cell r="Q232">
            <v>1</v>
          </cell>
          <cell r="S232">
            <v>6350</v>
          </cell>
          <cell r="T232">
            <v>85168617</v>
          </cell>
          <cell r="U232">
            <v>306106.67</v>
          </cell>
          <cell r="X232">
            <v>266</v>
          </cell>
          <cell r="Y232">
            <v>27</v>
          </cell>
          <cell r="Z232">
            <v>20</v>
          </cell>
          <cell r="AA232">
            <v>8</v>
          </cell>
          <cell r="AB232">
            <v>393</v>
          </cell>
          <cell r="AC232">
            <v>147</v>
          </cell>
          <cell r="AD232">
            <v>61</v>
          </cell>
          <cell r="AE232">
            <v>0</v>
          </cell>
          <cell r="AF232">
            <v>1</v>
          </cell>
          <cell r="AG232">
            <v>0</v>
          </cell>
          <cell r="AH232">
            <v>0</v>
          </cell>
          <cell r="AI232">
            <v>3432</v>
          </cell>
          <cell r="AJ232">
            <v>2711</v>
          </cell>
          <cell r="AK232">
            <v>2146</v>
          </cell>
          <cell r="AL232">
            <v>565</v>
          </cell>
          <cell r="AM232">
            <v>126</v>
          </cell>
        </row>
        <row r="233">
          <cell r="A233">
            <v>226</v>
          </cell>
          <cell r="B233" t="str">
            <v>Sedgemoor</v>
          </cell>
          <cell r="C233" t="str">
            <v>E3332</v>
          </cell>
          <cell r="D233">
            <v>1561716.19</v>
          </cell>
          <cell r="E233">
            <v>24404.68</v>
          </cell>
          <cell r="F233">
            <v>68737.509999999995</v>
          </cell>
          <cell r="G233">
            <v>0</v>
          </cell>
          <cell r="H233">
            <v>571391.35</v>
          </cell>
          <cell r="I233">
            <v>16520.57</v>
          </cell>
          <cell r="J233">
            <v>7683.66</v>
          </cell>
          <cell r="K233">
            <v>0</v>
          </cell>
          <cell r="L233">
            <v>27783.5</v>
          </cell>
          <cell r="M233">
            <v>256.5</v>
          </cell>
          <cell r="N233">
            <v>569954.89</v>
          </cell>
          <cell r="O233">
            <v>2145574.89</v>
          </cell>
          <cell r="P233">
            <v>0.9</v>
          </cell>
          <cell r="Q233">
            <v>1</v>
          </cell>
          <cell r="S233">
            <v>3846</v>
          </cell>
          <cell r="T233">
            <v>89304465</v>
          </cell>
          <cell r="U233">
            <v>328085.89</v>
          </cell>
          <cell r="X233">
            <v>220</v>
          </cell>
          <cell r="Y233">
            <v>12</v>
          </cell>
          <cell r="Z233">
            <v>63</v>
          </cell>
          <cell r="AA233">
            <v>0</v>
          </cell>
          <cell r="AB233">
            <v>738</v>
          </cell>
          <cell r="AC233">
            <v>114</v>
          </cell>
          <cell r="AD233">
            <v>20</v>
          </cell>
          <cell r="AE233">
            <v>0</v>
          </cell>
          <cell r="AF233">
            <v>44</v>
          </cell>
          <cell r="AG233">
            <v>1</v>
          </cell>
          <cell r="AH233">
            <v>0</v>
          </cell>
          <cell r="AI233">
            <v>1415</v>
          </cell>
          <cell r="AJ233">
            <v>1348</v>
          </cell>
          <cell r="AK233">
            <v>961</v>
          </cell>
          <cell r="AL233">
            <v>387</v>
          </cell>
          <cell r="AM233">
            <v>1078</v>
          </cell>
        </row>
        <row r="234">
          <cell r="A234">
            <v>227</v>
          </cell>
          <cell r="B234" t="str">
            <v>Sefton</v>
          </cell>
          <cell r="C234" t="str">
            <v>E4304</v>
          </cell>
          <cell r="D234">
            <v>3942286.58</v>
          </cell>
          <cell r="E234">
            <v>27887.4</v>
          </cell>
          <cell r="F234">
            <v>1623.75</v>
          </cell>
          <cell r="G234">
            <v>0</v>
          </cell>
          <cell r="H234">
            <v>3370384.07</v>
          </cell>
          <cell r="I234">
            <v>56403.37</v>
          </cell>
          <cell r="J234">
            <v>38283.230000000003</v>
          </cell>
          <cell r="K234">
            <v>0</v>
          </cell>
          <cell r="L234">
            <v>0</v>
          </cell>
          <cell r="M234">
            <v>0</v>
          </cell>
          <cell r="N234">
            <v>1236478.52</v>
          </cell>
          <cell r="O234">
            <v>4343271.58</v>
          </cell>
          <cell r="P234">
            <v>1.7</v>
          </cell>
          <cell r="Q234">
            <v>1.0075000000000001</v>
          </cell>
          <cell r="S234">
            <v>7536</v>
          </cell>
          <cell r="T234">
            <v>180255141</v>
          </cell>
          <cell r="U234">
            <v>956495.5</v>
          </cell>
          <cell r="X234">
            <v>368</v>
          </cell>
          <cell r="Y234">
            <v>15</v>
          </cell>
          <cell r="Z234">
            <v>2</v>
          </cell>
          <cell r="AA234">
            <v>0</v>
          </cell>
          <cell r="AB234">
            <v>1050</v>
          </cell>
          <cell r="AC234">
            <v>47</v>
          </cell>
          <cell r="AD234">
            <v>26</v>
          </cell>
          <cell r="AE234">
            <v>0</v>
          </cell>
          <cell r="AF234">
            <v>0</v>
          </cell>
          <cell r="AG234">
            <v>0</v>
          </cell>
          <cell r="AH234">
            <v>0</v>
          </cell>
          <cell r="AI234">
            <v>4688</v>
          </cell>
          <cell r="AJ234">
            <v>2653</v>
          </cell>
          <cell r="AK234">
            <v>1912</v>
          </cell>
          <cell r="AL234">
            <v>741</v>
          </cell>
          <cell r="AM234">
            <v>142</v>
          </cell>
        </row>
        <row r="235">
          <cell r="A235">
            <v>228</v>
          </cell>
          <cell r="B235" t="str">
            <v>Selby</v>
          </cell>
          <cell r="C235" t="str">
            <v>E2757</v>
          </cell>
          <cell r="D235">
            <v>783211.61</v>
          </cell>
          <cell r="E235">
            <v>42499.74</v>
          </cell>
          <cell r="F235">
            <v>25417.4</v>
          </cell>
          <cell r="G235">
            <v>0</v>
          </cell>
          <cell r="H235">
            <v>749802.13</v>
          </cell>
          <cell r="I235">
            <v>43977.16</v>
          </cell>
          <cell r="J235">
            <v>17219.52</v>
          </cell>
          <cell r="K235">
            <v>963.43</v>
          </cell>
          <cell r="L235">
            <v>12774.95</v>
          </cell>
          <cell r="M235">
            <v>3974.81</v>
          </cell>
          <cell r="N235">
            <v>753060.32</v>
          </cell>
          <cell r="O235">
            <v>1273885.95</v>
          </cell>
          <cell r="P235">
            <v>0.9</v>
          </cell>
          <cell r="Q235">
            <v>1</v>
          </cell>
          <cell r="S235">
            <v>2494</v>
          </cell>
          <cell r="T235">
            <v>104526398</v>
          </cell>
          <cell r="U235">
            <v>372325.22</v>
          </cell>
          <cell r="X235">
            <v>114</v>
          </cell>
          <cell r="Y235">
            <v>15</v>
          </cell>
          <cell r="Z235">
            <v>28</v>
          </cell>
          <cell r="AA235">
            <v>0</v>
          </cell>
          <cell r="AB235">
            <v>334</v>
          </cell>
          <cell r="AC235">
            <v>75</v>
          </cell>
          <cell r="AD235">
            <v>25</v>
          </cell>
          <cell r="AE235">
            <v>1</v>
          </cell>
          <cell r="AF235">
            <v>27</v>
          </cell>
          <cell r="AG235">
            <v>5</v>
          </cell>
          <cell r="AH235">
            <v>0</v>
          </cell>
          <cell r="AI235">
            <v>1657</v>
          </cell>
          <cell r="AJ235">
            <v>806</v>
          </cell>
          <cell r="AK235">
            <v>544</v>
          </cell>
          <cell r="AL235">
            <v>262</v>
          </cell>
          <cell r="AM235">
            <v>49</v>
          </cell>
        </row>
        <row r="236">
          <cell r="A236">
            <v>229</v>
          </cell>
          <cell r="B236" t="str">
            <v>Sevenoaks</v>
          </cell>
          <cell r="C236" t="str">
            <v>E2239</v>
          </cell>
          <cell r="D236">
            <v>2257086.0099999998</v>
          </cell>
          <cell r="E236">
            <v>79179.48</v>
          </cell>
          <cell r="F236">
            <v>16863.57</v>
          </cell>
          <cell r="G236">
            <v>0</v>
          </cell>
          <cell r="H236">
            <v>1298273.3799999999</v>
          </cell>
          <cell r="I236">
            <v>28719.72</v>
          </cell>
          <cell r="J236">
            <v>29757.74</v>
          </cell>
          <cell r="K236">
            <v>17</v>
          </cell>
          <cell r="L236">
            <v>0</v>
          </cell>
          <cell r="M236">
            <v>6788.59</v>
          </cell>
          <cell r="N236">
            <v>650906.35</v>
          </cell>
          <cell r="O236">
            <v>1905540.27</v>
          </cell>
          <cell r="P236">
            <v>0.9</v>
          </cell>
          <cell r="Q236">
            <v>1.0618000000000001</v>
          </cell>
          <cell r="S236">
            <v>3772</v>
          </cell>
          <cell r="T236">
            <v>90501329</v>
          </cell>
          <cell r="U236">
            <v>332206.44</v>
          </cell>
          <cell r="X236">
            <v>185</v>
          </cell>
          <cell r="Y236">
            <v>35</v>
          </cell>
          <cell r="Z236">
            <v>16</v>
          </cell>
          <cell r="AA236">
            <v>0</v>
          </cell>
          <cell r="AB236">
            <v>394</v>
          </cell>
          <cell r="AC236">
            <v>49</v>
          </cell>
          <cell r="AD236">
            <v>16</v>
          </cell>
          <cell r="AE236">
            <v>1</v>
          </cell>
          <cell r="AF236">
            <v>0</v>
          </cell>
          <cell r="AG236">
            <v>5</v>
          </cell>
          <cell r="AH236">
            <v>0</v>
          </cell>
          <cell r="AI236">
            <v>2543</v>
          </cell>
          <cell r="AJ236">
            <v>1008</v>
          </cell>
          <cell r="AK236">
            <v>561</v>
          </cell>
          <cell r="AL236">
            <v>447</v>
          </cell>
          <cell r="AM236">
            <v>183</v>
          </cell>
        </row>
        <row r="237">
          <cell r="A237">
            <v>230</v>
          </cell>
          <cell r="B237" t="str">
            <v>Sheffield</v>
          </cell>
          <cell r="C237" t="str">
            <v>E4404</v>
          </cell>
          <cell r="D237">
            <v>14037398.07</v>
          </cell>
          <cell r="E237">
            <v>16837.2</v>
          </cell>
          <cell r="F237">
            <v>0</v>
          </cell>
          <cell r="G237">
            <v>952867.16</v>
          </cell>
          <cell r="H237">
            <v>7068080.6499999994</v>
          </cell>
          <cell r="I237">
            <v>1568</v>
          </cell>
          <cell r="J237">
            <v>516724.24</v>
          </cell>
          <cell r="K237">
            <v>0</v>
          </cell>
          <cell r="L237">
            <v>0</v>
          </cell>
          <cell r="M237">
            <v>0</v>
          </cell>
          <cell r="N237">
            <v>4015258.99</v>
          </cell>
          <cell r="O237">
            <v>8449736.4299999997</v>
          </cell>
          <cell r="P237">
            <v>1.7</v>
          </cell>
          <cell r="Q237">
            <v>1</v>
          </cell>
          <cell r="S237">
            <v>17356</v>
          </cell>
          <cell r="T237">
            <v>531455993</v>
          </cell>
          <cell r="U237">
            <v>2802894.1</v>
          </cell>
          <cell r="X237">
            <v>930</v>
          </cell>
          <cell r="Y237">
            <v>13</v>
          </cell>
          <cell r="Z237">
            <v>0</v>
          </cell>
          <cell r="AA237">
            <v>70</v>
          </cell>
          <cell r="AB237">
            <v>3052</v>
          </cell>
          <cell r="AC237">
            <v>3</v>
          </cell>
          <cell r="AD237">
            <v>72</v>
          </cell>
          <cell r="AE237">
            <v>0</v>
          </cell>
          <cell r="AF237">
            <v>0</v>
          </cell>
          <cell r="AG237">
            <v>0</v>
          </cell>
          <cell r="AH237">
            <v>0</v>
          </cell>
          <cell r="AI237">
            <v>12429</v>
          </cell>
          <cell r="AJ237">
            <v>4463</v>
          </cell>
          <cell r="AK237">
            <v>2783</v>
          </cell>
          <cell r="AL237">
            <v>1680</v>
          </cell>
          <cell r="AM237">
            <v>352</v>
          </cell>
        </row>
        <row r="238">
          <cell r="A238">
            <v>231</v>
          </cell>
          <cell r="B238" t="str">
            <v>Shepway</v>
          </cell>
          <cell r="C238" t="str">
            <v>E2240</v>
          </cell>
          <cell r="D238">
            <v>1861370.55</v>
          </cell>
          <cell r="E238">
            <v>92749.53</v>
          </cell>
          <cell r="F238">
            <v>22560.11</v>
          </cell>
          <cell r="G238">
            <v>0</v>
          </cell>
          <cell r="H238">
            <v>827000.1</v>
          </cell>
          <cell r="I238">
            <v>9639.19</v>
          </cell>
          <cell r="J238">
            <v>268.31</v>
          </cell>
          <cell r="K238">
            <v>214.34</v>
          </cell>
          <cell r="L238">
            <v>0</v>
          </cell>
          <cell r="M238">
            <v>0</v>
          </cell>
          <cell r="N238">
            <v>491981.2</v>
          </cell>
          <cell r="O238">
            <v>2131573.29</v>
          </cell>
          <cell r="P238">
            <v>0.9</v>
          </cell>
          <cell r="Q238">
            <v>1.0067999999999999</v>
          </cell>
          <cell r="S238">
            <v>3681</v>
          </cell>
          <cell r="T238">
            <v>74847482</v>
          </cell>
          <cell r="U238">
            <v>274968.96000000002</v>
          </cell>
          <cell r="X238">
            <v>189</v>
          </cell>
          <cell r="Y238">
            <v>29</v>
          </cell>
          <cell r="Z238">
            <v>20</v>
          </cell>
          <cell r="AA238">
            <v>0</v>
          </cell>
          <cell r="AB238">
            <v>569</v>
          </cell>
          <cell r="AC238">
            <v>49</v>
          </cell>
          <cell r="AD238">
            <v>2</v>
          </cell>
          <cell r="AE238">
            <v>4</v>
          </cell>
          <cell r="AF238">
            <v>0</v>
          </cell>
          <cell r="AG238">
            <v>0</v>
          </cell>
          <cell r="AH238">
            <v>0</v>
          </cell>
          <cell r="AI238">
            <v>2311</v>
          </cell>
          <cell r="AJ238">
            <v>1265</v>
          </cell>
          <cell r="AK238">
            <v>904</v>
          </cell>
          <cell r="AL238">
            <v>361</v>
          </cell>
          <cell r="AM238">
            <v>95</v>
          </cell>
        </row>
        <row r="239">
          <cell r="A239">
            <v>232</v>
          </cell>
          <cell r="B239" t="str">
            <v>Shropshire UA</v>
          </cell>
          <cell r="C239" t="str">
            <v>E3202</v>
          </cell>
          <cell r="D239">
            <v>4614272.09</v>
          </cell>
          <cell r="E239">
            <v>120744.21</v>
          </cell>
          <cell r="F239">
            <v>112472.39</v>
          </cell>
          <cell r="G239">
            <v>74709.53</v>
          </cell>
          <cell r="H239">
            <v>2785183.28</v>
          </cell>
          <cell r="I239">
            <v>66929.240000000005</v>
          </cell>
          <cell r="J239">
            <v>81750.05</v>
          </cell>
          <cell r="K239">
            <v>3978.96</v>
          </cell>
          <cell r="L239">
            <v>7248.69</v>
          </cell>
          <cell r="M239">
            <v>0</v>
          </cell>
          <cell r="N239">
            <v>1233453.23</v>
          </cell>
          <cell r="O239">
            <v>6409013.25</v>
          </cell>
          <cell r="P239">
            <v>1.3</v>
          </cell>
          <cell r="Q239">
            <v>1</v>
          </cell>
          <cell r="S239">
            <v>11513</v>
          </cell>
          <cell r="T239">
            <v>199321302</v>
          </cell>
          <cell r="U239">
            <v>785516.75</v>
          </cell>
          <cell r="X239">
            <v>652</v>
          </cell>
          <cell r="Y239">
            <v>39</v>
          </cell>
          <cell r="Z239">
            <v>119</v>
          </cell>
          <cell r="AA239">
            <v>9</v>
          </cell>
          <cell r="AB239">
            <v>1371</v>
          </cell>
          <cell r="AC239">
            <v>394</v>
          </cell>
          <cell r="AD239">
            <v>99</v>
          </cell>
          <cell r="AE239">
            <v>16</v>
          </cell>
          <cell r="AF239">
            <v>27</v>
          </cell>
          <cell r="AG239">
            <v>0</v>
          </cell>
          <cell r="AH239">
            <v>0</v>
          </cell>
          <cell r="AI239">
            <v>7081</v>
          </cell>
          <cell r="AJ239">
            <v>4119</v>
          </cell>
          <cell r="AK239">
            <v>3004</v>
          </cell>
          <cell r="AL239">
            <v>1115</v>
          </cell>
          <cell r="AM239">
            <v>195</v>
          </cell>
        </row>
        <row r="240">
          <cell r="A240">
            <v>233</v>
          </cell>
          <cell r="B240" t="str">
            <v>Slough</v>
          </cell>
          <cell r="C240" t="str">
            <v>E0304</v>
          </cell>
          <cell r="D240">
            <v>2989105.42</v>
          </cell>
          <cell r="E240">
            <v>0</v>
          </cell>
          <cell r="F240">
            <v>0</v>
          </cell>
          <cell r="G240">
            <v>0</v>
          </cell>
          <cell r="H240">
            <v>5532603.3199999994</v>
          </cell>
          <cell r="I240">
            <v>80891.13</v>
          </cell>
          <cell r="J240">
            <v>44445.46</v>
          </cell>
          <cell r="K240">
            <v>0</v>
          </cell>
          <cell r="L240">
            <v>0</v>
          </cell>
          <cell r="M240">
            <v>0</v>
          </cell>
          <cell r="N240">
            <v>1719693.4</v>
          </cell>
          <cell r="O240">
            <v>823330.9</v>
          </cell>
          <cell r="P240">
            <v>1.3</v>
          </cell>
          <cell r="Q240">
            <v>1.1039000000000001</v>
          </cell>
          <cell r="S240">
            <v>3351</v>
          </cell>
          <cell r="T240">
            <v>227030211</v>
          </cell>
          <cell r="U240">
            <v>987805.14</v>
          </cell>
          <cell r="X240">
            <v>129</v>
          </cell>
          <cell r="Y240">
            <v>0</v>
          </cell>
          <cell r="Z240">
            <v>0</v>
          </cell>
          <cell r="AA240">
            <v>0</v>
          </cell>
          <cell r="AB240">
            <v>708</v>
          </cell>
          <cell r="AC240">
            <v>98</v>
          </cell>
          <cell r="AD240">
            <v>32</v>
          </cell>
          <cell r="AE240">
            <v>0</v>
          </cell>
          <cell r="AF240">
            <v>0</v>
          </cell>
          <cell r="AG240">
            <v>0</v>
          </cell>
          <cell r="AH240">
            <v>0</v>
          </cell>
          <cell r="AI240">
            <v>2962</v>
          </cell>
          <cell r="AJ240">
            <v>420</v>
          </cell>
          <cell r="AK240">
            <v>169</v>
          </cell>
          <cell r="AL240">
            <v>251</v>
          </cell>
          <cell r="AM240">
            <v>67</v>
          </cell>
        </row>
        <row r="241">
          <cell r="A241">
            <v>234</v>
          </cell>
          <cell r="B241" t="str">
            <v>Solihull</v>
          </cell>
          <cell r="C241" t="str">
            <v>E4605</v>
          </cell>
          <cell r="D241">
            <v>3572999.75</v>
          </cell>
          <cell r="E241">
            <v>69114.55</v>
          </cell>
          <cell r="F241">
            <v>916</v>
          </cell>
          <cell r="G241">
            <v>373573.42</v>
          </cell>
          <cell r="H241">
            <v>4223654.3899999997</v>
          </cell>
          <cell r="I241">
            <v>7434.63</v>
          </cell>
          <cell r="J241">
            <v>6578.03</v>
          </cell>
          <cell r="K241">
            <v>0</v>
          </cell>
          <cell r="L241">
            <v>0</v>
          </cell>
          <cell r="M241">
            <v>0</v>
          </cell>
          <cell r="N241">
            <v>1976731.09</v>
          </cell>
          <cell r="O241">
            <v>1710531.84</v>
          </cell>
          <cell r="P241">
            <v>1.7</v>
          </cell>
          <cell r="Q241">
            <v>1.0134000000000001</v>
          </cell>
          <cell r="S241">
            <v>4439</v>
          </cell>
          <cell r="T241">
            <v>261218727</v>
          </cell>
          <cell r="U241">
            <v>1466245.57</v>
          </cell>
          <cell r="X241">
            <v>200</v>
          </cell>
          <cell r="Y241">
            <v>17</v>
          </cell>
          <cell r="Z241">
            <v>1</v>
          </cell>
          <cell r="AA241">
            <v>8</v>
          </cell>
          <cell r="AB241">
            <v>558</v>
          </cell>
          <cell r="AC241">
            <v>37</v>
          </cell>
          <cell r="AD241">
            <v>4</v>
          </cell>
          <cell r="AE241">
            <v>0</v>
          </cell>
          <cell r="AF241">
            <v>0</v>
          </cell>
          <cell r="AG241">
            <v>0</v>
          </cell>
          <cell r="AH241">
            <v>0</v>
          </cell>
          <cell r="AI241">
            <v>2322</v>
          </cell>
          <cell r="AJ241">
            <v>937</v>
          </cell>
          <cell r="AK241">
            <v>539</v>
          </cell>
          <cell r="AL241">
            <v>398</v>
          </cell>
          <cell r="AM241">
            <v>1142</v>
          </cell>
        </row>
        <row r="242">
          <cell r="A242">
            <v>235</v>
          </cell>
          <cell r="B242" t="str">
            <v>South Bucks</v>
          </cell>
          <cell r="C242" t="str">
            <v>E0434</v>
          </cell>
          <cell r="D242">
            <v>1462734.27</v>
          </cell>
          <cell r="E242">
            <v>55611.31</v>
          </cell>
          <cell r="F242">
            <v>2633.5</v>
          </cell>
          <cell r="G242">
            <v>0</v>
          </cell>
          <cell r="H242">
            <v>1850787.14</v>
          </cell>
          <cell r="I242">
            <v>3467.03</v>
          </cell>
          <cell r="J242">
            <v>23218.5</v>
          </cell>
          <cell r="K242">
            <v>60.69</v>
          </cell>
          <cell r="L242">
            <v>0</v>
          </cell>
          <cell r="M242">
            <v>0</v>
          </cell>
          <cell r="N242">
            <v>540202.13</v>
          </cell>
          <cell r="O242">
            <v>767070.69</v>
          </cell>
          <cell r="P242">
            <v>0.9</v>
          </cell>
          <cell r="Q242">
            <v>1.0815999999999999</v>
          </cell>
          <cell r="S242">
            <v>1966</v>
          </cell>
          <cell r="T242">
            <v>74075266</v>
          </cell>
          <cell r="U242">
            <v>283652.62</v>
          </cell>
          <cell r="X242">
            <v>96</v>
          </cell>
          <cell r="Y242">
            <v>19</v>
          </cell>
          <cell r="Z242">
            <v>2</v>
          </cell>
          <cell r="AA242">
            <v>0</v>
          </cell>
          <cell r="AB242">
            <v>263</v>
          </cell>
          <cell r="AC242">
            <v>37</v>
          </cell>
          <cell r="AD242">
            <v>1</v>
          </cell>
          <cell r="AE242">
            <v>1</v>
          </cell>
          <cell r="AF242">
            <v>0</v>
          </cell>
          <cell r="AG242">
            <v>0</v>
          </cell>
          <cell r="AH242">
            <v>0</v>
          </cell>
          <cell r="AI242">
            <v>1514</v>
          </cell>
          <cell r="AJ242">
            <v>409</v>
          </cell>
          <cell r="AK242">
            <v>215</v>
          </cell>
          <cell r="AL242">
            <v>194</v>
          </cell>
          <cell r="AM242">
            <v>53</v>
          </cell>
        </row>
        <row r="243">
          <cell r="A243">
            <v>236</v>
          </cell>
          <cell r="B243" t="str">
            <v>South Cambridgeshire</v>
          </cell>
          <cell r="C243" t="str">
            <v>E0536</v>
          </cell>
          <cell r="D243">
            <v>7994392.0300000003</v>
          </cell>
          <cell r="E243">
            <v>36331.11</v>
          </cell>
          <cell r="F243">
            <v>78332.2</v>
          </cell>
          <cell r="G243">
            <v>0</v>
          </cell>
          <cell r="H243">
            <v>1164780.8999999999</v>
          </cell>
          <cell r="I243">
            <v>24848.14</v>
          </cell>
          <cell r="J243">
            <v>34077.74</v>
          </cell>
          <cell r="K243">
            <v>0</v>
          </cell>
          <cell r="L243">
            <v>62891.91</v>
          </cell>
          <cell r="M243">
            <v>26136.560000000001</v>
          </cell>
          <cell r="N243">
            <v>1267680.48</v>
          </cell>
          <cell r="O243">
            <v>1835525.34</v>
          </cell>
          <cell r="P243">
            <v>0.9</v>
          </cell>
          <cell r="Q243">
            <v>1.0339</v>
          </cell>
          <cell r="S243">
            <v>4431</v>
          </cell>
          <cell r="T243">
            <v>175269064</v>
          </cell>
          <cell r="U243">
            <v>659704.69999999995</v>
          </cell>
          <cell r="X243">
            <v>251</v>
          </cell>
          <cell r="Y243">
            <v>5</v>
          </cell>
          <cell r="Z243">
            <v>50</v>
          </cell>
          <cell r="AA243">
            <v>0</v>
          </cell>
          <cell r="AB243">
            <v>261</v>
          </cell>
          <cell r="AC243">
            <v>143</v>
          </cell>
          <cell r="AD243">
            <v>16</v>
          </cell>
          <cell r="AE243">
            <v>0</v>
          </cell>
          <cell r="AF243">
            <v>53</v>
          </cell>
          <cell r="AG243">
            <v>8</v>
          </cell>
          <cell r="AH243">
            <v>0</v>
          </cell>
          <cell r="AI243">
            <v>3202</v>
          </cell>
          <cell r="AJ243">
            <v>1062</v>
          </cell>
          <cell r="AK243">
            <v>650</v>
          </cell>
          <cell r="AL243">
            <v>412</v>
          </cell>
          <cell r="AM243">
            <v>101</v>
          </cell>
        </row>
        <row r="244">
          <cell r="A244">
            <v>237</v>
          </cell>
          <cell r="B244" t="str">
            <v>South Derbyshire</v>
          </cell>
          <cell r="C244" t="str">
            <v>E1039</v>
          </cell>
          <cell r="D244">
            <v>864568.09</v>
          </cell>
          <cell r="E244">
            <v>31776.04</v>
          </cell>
          <cell r="F244">
            <v>25607.91</v>
          </cell>
          <cell r="G244">
            <v>3465.21</v>
          </cell>
          <cell r="H244">
            <v>850726</v>
          </cell>
          <cell r="I244">
            <v>174.61</v>
          </cell>
          <cell r="J244">
            <v>4438.0200000000004</v>
          </cell>
          <cell r="K244">
            <v>0</v>
          </cell>
          <cell r="L244">
            <v>0</v>
          </cell>
          <cell r="M244">
            <v>0</v>
          </cell>
          <cell r="N244">
            <v>362944.38</v>
          </cell>
          <cell r="O244">
            <v>1150946</v>
          </cell>
          <cell r="P244">
            <v>0.9</v>
          </cell>
          <cell r="Q244">
            <v>1</v>
          </cell>
          <cell r="S244">
            <v>2113</v>
          </cell>
          <cell r="T244">
            <v>54249510</v>
          </cell>
          <cell r="U244">
            <v>205107.62</v>
          </cell>
          <cell r="X244">
            <v>115</v>
          </cell>
          <cell r="Y244">
            <v>7</v>
          </cell>
          <cell r="Z244">
            <v>25</v>
          </cell>
          <cell r="AA244">
            <v>0</v>
          </cell>
          <cell r="AB244">
            <v>292</v>
          </cell>
          <cell r="AC244">
            <v>5</v>
          </cell>
          <cell r="AD244">
            <v>4</v>
          </cell>
          <cell r="AE244">
            <v>1</v>
          </cell>
          <cell r="AF244">
            <v>0</v>
          </cell>
          <cell r="AG244">
            <v>0</v>
          </cell>
          <cell r="AH244">
            <v>0</v>
          </cell>
          <cell r="AI244">
            <v>1407</v>
          </cell>
          <cell r="AJ244">
            <v>718</v>
          </cell>
          <cell r="AK244">
            <v>542</v>
          </cell>
          <cell r="AL244">
            <v>176</v>
          </cell>
          <cell r="AM244">
            <v>44</v>
          </cell>
        </row>
        <row r="245">
          <cell r="A245">
            <v>238</v>
          </cell>
          <cell r="B245" t="str">
            <v>South Gloucestershire</v>
          </cell>
          <cell r="C245" t="str">
            <v>E0103</v>
          </cell>
          <cell r="D245">
            <v>5131475</v>
          </cell>
          <cell r="E245">
            <v>85957.440000000002</v>
          </cell>
          <cell r="F245">
            <v>27302.69</v>
          </cell>
          <cell r="G245">
            <v>279614.95400000003</v>
          </cell>
          <cell r="H245">
            <v>2731087.65</v>
          </cell>
          <cell r="I245">
            <v>29615.405000000002</v>
          </cell>
          <cell r="J245">
            <v>325980.27750000003</v>
          </cell>
          <cell r="K245">
            <v>0</v>
          </cell>
          <cell r="L245">
            <v>17445.592499999999</v>
          </cell>
          <cell r="M245">
            <v>18374.7075</v>
          </cell>
          <cell r="N245">
            <v>2406361.62</v>
          </cell>
          <cell r="O245">
            <v>2777888.92</v>
          </cell>
          <cell r="P245">
            <v>1.3</v>
          </cell>
          <cell r="Q245">
            <v>1.0378000000000001</v>
          </cell>
          <cell r="S245">
            <v>6187</v>
          </cell>
          <cell r="T245">
            <v>317880394</v>
          </cell>
          <cell r="U245">
            <v>1403369.82</v>
          </cell>
          <cell r="X245">
            <v>319</v>
          </cell>
          <cell r="Y245">
            <v>25</v>
          </cell>
          <cell r="Z245">
            <v>25</v>
          </cell>
          <cell r="AA245">
            <v>4</v>
          </cell>
          <cell r="AB245">
            <v>674</v>
          </cell>
          <cell r="AC245">
            <v>169</v>
          </cell>
          <cell r="AD245">
            <v>30</v>
          </cell>
          <cell r="AE245">
            <v>0</v>
          </cell>
          <cell r="AF245">
            <v>23</v>
          </cell>
          <cell r="AG245">
            <v>6</v>
          </cell>
          <cell r="AH245">
            <v>0</v>
          </cell>
          <cell r="AI245">
            <v>4364</v>
          </cell>
          <cell r="AJ245">
            <v>1601</v>
          </cell>
          <cell r="AK245">
            <v>985</v>
          </cell>
          <cell r="AL245">
            <v>616</v>
          </cell>
          <cell r="AM245">
            <v>136</v>
          </cell>
        </row>
        <row r="246">
          <cell r="A246">
            <v>239</v>
          </cell>
          <cell r="B246" t="str">
            <v>South Hams</v>
          </cell>
          <cell r="C246" t="str">
            <v>E1136</v>
          </cell>
          <cell r="D246">
            <v>1409395.97</v>
          </cell>
          <cell r="E246">
            <v>83540.02</v>
          </cell>
          <cell r="F246">
            <v>50256.17</v>
          </cell>
          <cell r="G246">
            <v>0</v>
          </cell>
          <cell r="H246">
            <v>435399.96</v>
          </cell>
          <cell r="I246">
            <v>43068.18</v>
          </cell>
          <cell r="J246">
            <v>65081.74</v>
          </cell>
          <cell r="K246">
            <v>0</v>
          </cell>
          <cell r="L246">
            <v>7819.2</v>
          </cell>
          <cell r="M246">
            <v>0</v>
          </cell>
          <cell r="N246">
            <v>569892.82999999996</v>
          </cell>
          <cell r="O246">
            <v>2087400.17</v>
          </cell>
          <cell r="P246">
            <v>0.9</v>
          </cell>
          <cell r="Q246">
            <v>1</v>
          </cell>
          <cell r="S246">
            <v>5183</v>
          </cell>
          <cell r="T246">
            <v>82110354</v>
          </cell>
          <cell r="U246">
            <v>285461.73</v>
          </cell>
          <cell r="X246">
            <v>276</v>
          </cell>
          <cell r="Y246">
            <v>17</v>
          </cell>
          <cell r="Z246">
            <v>47</v>
          </cell>
          <cell r="AA246">
            <v>0</v>
          </cell>
          <cell r="AB246">
            <v>210</v>
          </cell>
          <cell r="AC246">
            <v>157</v>
          </cell>
          <cell r="AD246">
            <v>51</v>
          </cell>
          <cell r="AE246">
            <v>0</v>
          </cell>
          <cell r="AF246">
            <v>7</v>
          </cell>
          <cell r="AG246">
            <v>0</v>
          </cell>
          <cell r="AH246">
            <v>0</v>
          </cell>
          <cell r="AI246">
            <v>3053</v>
          </cell>
          <cell r="AJ246">
            <v>1917</v>
          </cell>
          <cell r="AK246">
            <v>1454</v>
          </cell>
          <cell r="AL246">
            <v>463</v>
          </cell>
          <cell r="AM246">
            <v>148</v>
          </cell>
        </row>
        <row r="247">
          <cell r="A247">
            <v>240</v>
          </cell>
          <cell r="B247" t="str">
            <v>South Holland</v>
          </cell>
          <cell r="C247" t="str">
            <v>E2535</v>
          </cell>
          <cell r="D247">
            <v>751122.48</v>
          </cell>
          <cell r="E247">
            <v>46165.05</v>
          </cell>
          <cell r="F247">
            <v>40456</v>
          </cell>
          <cell r="G247">
            <v>0</v>
          </cell>
          <cell r="H247">
            <v>529127.09</v>
          </cell>
          <cell r="I247">
            <v>16183.34</v>
          </cell>
          <cell r="J247">
            <v>32355.94</v>
          </cell>
          <cell r="K247">
            <v>1386.5</v>
          </cell>
          <cell r="L247">
            <v>30342</v>
          </cell>
          <cell r="M247">
            <v>0</v>
          </cell>
          <cell r="N247">
            <v>472640.41</v>
          </cell>
          <cell r="O247">
            <v>1481477.67</v>
          </cell>
          <cell r="P247">
            <v>0.9</v>
          </cell>
          <cell r="Q247">
            <v>1</v>
          </cell>
          <cell r="S247">
            <v>2682</v>
          </cell>
          <cell r="T247">
            <v>63171423</v>
          </cell>
          <cell r="U247">
            <v>225227.91</v>
          </cell>
          <cell r="X247">
            <v>108</v>
          </cell>
          <cell r="Y247">
            <v>23</v>
          </cell>
          <cell r="Z247">
            <v>46</v>
          </cell>
          <cell r="AA247">
            <v>0</v>
          </cell>
          <cell r="AB247">
            <v>326</v>
          </cell>
          <cell r="AC247">
            <v>113</v>
          </cell>
          <cell r="AD247">
            <v>23</v>
          </cell>
          <cell r="AE247">
            <v>17</v>
          </cell>
          <cell r="AF247">
            <v>46</v>
          </cell>
          <cell r="AG247">
            <v>0</v>
          </cell>
          <cell r="AH247">
            <v>0</v>
          </cell>
          <cell r="AI247">
            <v>1642</v>
          </cell>
          <cell r="AJ247">
            <v>966</v>
          </cell>
          <cell r="AK247">
            <v>732</v>
          </cell>
          <cell r="AL247">
            <v>234</v>
          </cell>
          <cell r="AM247">
            <v>55</v>
          </cell>
        </row>
        <row r="248">
          <cell r="A248">
            <v>241</v>
          </cell>
          <cell r="B248" t="str">
            <v>South Kesteven</v>
          </cell>
          <cell r="C248" t="str">
            <v>E2536</v>
          </cell>
          <cell r="D248">
            <v>2385174.6</v>
          </cell>
          <cell r="E248">
            <v>137820.93</v>
          </cell>
          <cell r="F248">
            <v>44729.45</v>
          </cell>
          <cell r="G248">
            <v>85000</v>
          </cell>
          <cell r="H248">
            <v>1421248.84</v>
          </cell>
          <cell r="I248">
            <v>3290.67</v>
          </cell>
          <cell r="J248">
            <v>41245.29</v>
          </cell>
          <cell r="K248">
            <v>0</v>
          </cell>
          <cell r="L248">
            <v>17391.830000000002</v>
          </cell>
          <cell r="M248">
            <v>10167</v>
          </cell>
          <cell r="N248">
            <v>677342.75</v>
          </cell>
          <cell r="O248">
            <v>2048653.86</v>
          </cell>
          <cell r="P248">
            <v>0.9</v>
          </cell>
          <cell r="Q248">
            <v>1</v>
          </cell>
          <cell r="S248">
            <v>4226</v>
          </cell>
          <cell r="T248">
            <v>100844968</v>
          </cell>
          <cell r="U248">
            <v>382147.25</v>
          </cell>
          <cell r="X248">
            <v>221</v>
          </cell>
          <cell r="Y248">
            <v>28</v>
          </cell>
          <cell r="Z248">
            <v>41</v>
          </cell>
          <cell r="AA248">
            <v>0</v>
          </cell>
          <cell r="AB248">
            <v>498</v>
          </cell>
          <cell r="AC248">
            <v>60</v>
          </cell>
          <cell r="AD248">
            <v>11</v>
          </cell>
          <cell r="AE248">
            <v>0</v>
          </cell>
          <cell r="AF248">
            <v>47</v>
          </cell>
          <cell r="AG248">
            <v>7</v>
          </cell>
          <cell r="AH248">
            <v>0</v>
          </cell>
          <cell r="AI248">
            <v>2888</v>
          </cell>
          <cell r="AJ248">
            <v>1180</v>
          </cell>
          <cell r="AK248">
            <v>746</v>
          </cell>
          <cell r="AL248">
            <v>434</v>
          </cell>
          <cell r="AM248">
            <v>121</v>
          </cell>
        </row>
        <row r="249">
          <cell r="A249">
            <v>242</v>
          </cell>
          <cell r="B249" t="str">
            <v>South Lakeland</v>
          </cell>
          <cell r="C249" t="str">
            <v>E0936</v>
          </cell>
          <cell r="D249">
            <v>2615960.6800000002</v>
          </cell>
          <cell r="E249">
            <v>99193.43</v>
          </cell>
          <cell r="F249">
            <v>23300.41</v>
          </cell>
          <cell r="G249">
            <v>0</v>
          </cell>
          <cell r="H249">
            <v>321861.90999999997</v>
          </cell>
          <cell r="I249">
            <v>12496.87</v>
          </cell>
          <cell r="J249">
            <v>19397.27</v>
          </cell>
          <cell r="K249">
            <v>2550.04</v>
          </cell>
          <cell r="L249">
            <v>6371.36</v>
          </cell>
          <cell r="M249">
            <v>7959.21</v>
          </cell>
          <cell r="N249">
            <v>597646</v>
          </cell>
          <cell r="O249">
            <v>4792796.0599999996</v>
          </cell>
          <cell r="P249">
            <v>0.9</v>
          </cell>
          <cell r="Q249">
            <v>1</v>
          </cell>
          <cell r="S249">
            <v>7572</v>
          </cell>
          <cell r="T249">
            <v>105692504</v>
          </cell>
          <cell r="U249">
            <v>379561.51</v>
          </cell>
          <cell r="X249">
            <v>428</v>
          </cell>
          <cell r="Y249">
            <v>22</v>
          </cell>
          <cell r="Z249">
            <v>27</v>
          </cell>
          <cell r="AA249">
            <v>0</v>
          </cell>
          <cell r="AB249">
            <v>250</v>
          </cell>
          <cell r="AC249">
            <v>95</v>
          </cell>
          <cell r="AD249">
            <v>17</v>
          </cell>
          <cell r="AE249">
            <v>13</v>
          </cell>
          <cell r="AF249">
            <v>16</v>
          </cell>
          <cell r="AG249">
            <v>5</v>
          </cell>
          <cell r="AH249">
            <v>0</v>
          </cell>
          <cell r="AI249">
            <v>4342</v>
          </cell>
          <cell r="AJ249">
            <v>3085</v>
          </cell>
          <cell r="AK249">
            <v>2367</v>
          </cell>
          <cell r="AL249">
            <v>718</v>
          </cell>
          <cell r="AM249">
            <v>153</v>
          </cell>
        </row>
        <row r="250">
          <cell r="A250">
            <v>243</v>
          </cell>
          <cell r="B250" t="str">
            <v>South Norfolk</v>
          </cell>
          <cell r="C250" t="str">
            <v>E2637</v>
          </cell>
          <cell r="D250">
            <v>2799368.06</v>
          </cell>
          <cell r="E250">
            <v>49289.96</v>
          </cell>
          <cell r="F250">
            <v>83986.32</v>
          </cell>
          <cell r="G250">
            <v>0</v>
          </cell>
          <cell r="H250">
            <v>715961.46</v>
          </cell>
          <cell r="I250">
            <v>19979.689999999999</v>
          </cell>
          <cell r="J250">
            <v>63402.720000000001</v>
          </cell>
          <cell r="K250">
            <v>2798.22</v>
          </cell>
          <cell r="L250">
            <v>26978.87</v>
          </cell>
          <cell r="M250">
            <v>14182.37</v>
          </cell>
          <cell r="N250">
            <v>463946.29</v>
          </cell>
          <cell r="O250">
            <v>1832850.86</v>
          </cell>
          <cell r="P250">
            <v>0.9</v>
          </cell>
          <cell r="Q250">
            <v>1</v>
          </cell>
          <cell r="S250">
            <v>3602</v>
          </cell>
          <cell r="T250">
            <v>73803854</v>
          </cell>
          <cell r="U250">
            <v>261457.4</v>
          </cell>
          <cell r="X250">
            <v>241</v>
          </cell>
          <cell r="Y250">
            <v>8</v>
          </cell>
          <cell r="Z250">
            <v>68</v>
          </cell>
          <cell r="AA250">
            <v>0</v>
          </cell>
          <cell r="AB250">
            <v>223</v>
          </cell>
          <cell r="AC250">
            <v>151</v>
          </cell>
          <cell r="AD250">
            <v>26</v>
          </cell>
          <cell r="AE250">
            <v>8</v>
          </cell>
          <cell r="AF250">
            <v>35</v>
          </cell>
          <cell r="AG250">
            <v>7</v>
          </cell>
          <cell r="AH250">
            <v>0</v>
          </cell>
          <cell r="AI250">
            <v>2308</v>
          </cell>
          <cell r="AJ250">
            <v>1231</v>
          </cell>
          <cell r="AK250">
            <v>907</v>
          </cell>
          <cell r="AL250">
            <v>324</v>
          </cell>
          <cell r="AM250">
            <v>97</v>
          </cell>
        </row>
        <row r="251">
          <cell r="A251">
            <v>244</v>
          </cell>
          <cell r="B251" t="str">
            <v>South Northamptonshire</v>
          </cell>
          <cell r="C251" t="str">
            <v>E2836</v>
          </cell>
          <cell r="D251">
            <v>1066225.6000000001</v>
          </cell>
          <cell r="E251">
            <v>5880.72</v>
          </cell>
          <cell r="F251">
            <v>48386.25</v>
          </cell>
          <cell r="G251">
            <v>0</v>
          </cell>
          <cell r="H251">
            <v>754085.06</v>
          </cell>
          <cell r="I251">
            <v>28180.57</v>
          </cell>
          <cell r="J251">
            <v>99953.73</v>
          </cell>
          <cell r="K251">
            <v>367.45</v>
          </cell>
          <cell r="L251">
            <v>11060.7</v>
          </cell>
          <cell r="M251">
            <v>0</v>
          </cell>
          <cell r="N251">
            <v>334144.93</v>
          </cell>
          <cell r="O251">
            <v>1318143.17</v>
          </cell>
          <cell r="P251">
            <v>0.9</v>
          </cell>
          <cell r="Q251">
            <v>1.0132000000000001</v>
          </cell>
          <cell r="S251">
            <v>2548</v>
          </cell>
          <cell r="T251">
            <v>53184161</v>
          </cell>
          <cell r="U251">
            <v>197279.78</v>
          </cell>
          <cell r="X251">
            <v>147</v>
          </cell>
          <cell r="Y251">
            <v>2</v>
          </cell>
          <cell r="Z251">
            <v>43</v>
          </cell>
          <cell r="AA251">
            <v>0</v>
          </cell>
          <cell r="AB251">
            <v>237</v>
          </cell>
          <cell r="AC251">
            <v>118</v>
          </cell>
          <cell r="AD251">
            <v>62</v>
          </cell>
          <cell r="AE251">
            <v>2</v>
          </cell>
          <cell r="AF251">
            <v>15</v>
          </cell>
          <cell r="AG251">
            <v>1</v>
          </cell>
          <cell r="AH251">
            <v>0</v>
          </cell>
          <cell r="AI251">
            <v>839</v>
          </cell>
          <cell r="AJ251">
            <v>758</v>
          </cell>
          <cell r="AK251">
            <v>489</v>
          </cell>
          <cell r="AL251">
            <v>269</v>
          </cell>
          <cell r="AM251">
            <v>58</v>
          </cell>
        </row>
        <row r="252">
          <cell r="A252">
            <v>245</v>
          </cell>
          <cell r="B252" t="str">
            <v>South Oxfordshire</v>
          </cell>
          <cell r="C252" t="str">
            <v>E3133</v>
          </cell>
          <cell r="D252">
            <v>2915219.77</v>
          </cell>
          <cell r="E252">
            <v>72551.570000000007</v>
          </cell>
          <cell r="F252">
            <v>41774.410000000003</v>
          </cell>
          <cell r="G252">
            <v>0</v>
          </cell>
          <cell r="H252">
            <v>1548100.73</v>
          </cell>
          <cell r="I252">
            <v>46422.01</v>
          </cell>
          <cell r="J252">
            <v>6584.11</v>
          </cell>
          <cell r="K252">
            <v>2267.23</v>
          </cell>
          <cell r="L252">
            <v>16157.38</v>
          </cell>
          <cell r="M252">
            <v>0</v>
          </cell>
          <cell r="N252">
            <v>736720.28</v>
          </cell>
          <cell r="O252">
            <v>1963973.19</v>
          </cell>
          <cell r="P252">
            <v>0.9</v>
          </cell>
          <cell r="Q252">
            <v>1.0533999999999999</v>
          </cell>
          <cell r="S252">
            <v>4091</v>
          </cell>
          <cell r="T252">
            <v>108600919</v>
          </cell>
          <cell r="U252">
            <v>411016.79</v>
          </cell>
          <cell r="X252">
            <v>291</v>
          </cell>
          <cell r="Y252">
            <v>26</v>
          </cell>
          <cell r="Z252">
            <v>36</v>
          </cell>
          <cell r="AA252">
            <v>0</v>
          </cell>
          <cell r="AB252">
            <v>447</v>
          </cell>
          <cell r="AC252">
            <v>170</v>
          </cell>
          <cell r="AD252">
            <v>3</v>
          </cell>
          <cell r="AE252">
            <v>26</v>
          </cell>
          <cell r="AF252">
            <v>23</v>
          </cell>
          <cell r="AG252">
            <v>0</v>
          </cell>
          <cell r="AH252">
            <v>0</v>
          </cell>
          <cell r="AI252">
            <v>2803</v>
          </cell>
          <cell r="AJ252">
            <v>1129</v>
          </cell>
          <cell r="AK252">
            <v>662</v>
          </cell>
          <cell r="AL252">
            <v>467</v>
          </cell>
          <cell r="AM252">
            <v>150</v>
          </cell>
        </row>
        <row r="253">
          <cell r="A253">
            <v>246</v>
          </cell>
          <cell r="B253" t="str">
            <v>South Ribble</v>
          </cell>
          <cell r="C253" t="str">
            <v>E2342</v>
          </cell>
          <cell r="D253">
            <v>1405233.34</v>
          </cell>
          <cell r="E253">
            <v>42584.62</v>
          </cell>
          <cell r="F253">
            <v>4682.8900000000003</v>
          </cell>
          <cell r="G253">
            <v>50000</v>
          </cell>
          <cell r="H253">
            <v>1316736.3600000001</v>
          </cell>
          <cell r="I253">
            <v>25461.85</v>
          </cell>
          <cell r="J253">
            <v>10794.05</v>
          </cell>
          <cell r="K253">
            <v>0</v>
          </cell>
          <cell r="L253">
            <v>3512.18</v>
          </cell>
          <cell r="M253">
            <v>0</v>
          </cell>
          <cell r="N253">
            <v>595414.49</v>
          </cell>
          <cell r="O253">
            <v>1646174.83</v>
          </cell>
          <cell r="P253">
            <v>0.9</v>
          </cell>
          <cell r="Q253">
            <v>1</v>
          </cell>
          <cell r="S253">
            <v>2776</v>
          </cell>
          <cell r="T253">
            <v>86314051</v>
          </cell>
          <cell r="U253">
            <v>328097.8</v>
          </cell>
          <cell r="X253">
            <v>125</v>
          </cell>
          <cell r="Y253">
            <v>7</v>
          </cell>
          <cell r="Z253">
            <v>4</v>
          </cell>
          <cell r="AA253">
            <v>2</v>
          </cell>
          <cell r="AB253">
            <v>306</v>
          </cell>
          <cell r="AC253">
            <v>66</v>
          </cell>
          <cell r="AD253">
            <v>12</v>
          </cell>
          <cell r="AE253">
            <v>0</v>
          </cell>
          <cell r="AF253">
            <v>4</v>
          </cell>
          <cell r="AG253">
            <v>0</v>
          </cell>
          <cell r="AH253">
            <v>0</v>
          </cell>
          <cell r="AI253">
            <v>1075</v>
          </cell>
          <cell r="AJ253">
            <v>911</v>
          </cell>
          <cell r="AK253">
            <v>599</v>
          </cell>
          <cell r="AL253">
            <v>312</v>
          </cell>
          <cell r="AM253">
            <v>766</v>
          </cell>
        </row>
        <row r="254">
          <cell r="A254">
            <v>247</v>
          </cell>
          <cell r="B254" t="str">
            <v>South Somerset</v>
          </cell>
          <cell r="C254" t="str">
            <v>E3334</v>
          </cell>
          <cell r="D254">
            <v>2863242.54</v>
          </cell>
          <cell r="E254">
            <v>26225.08</v>
          </cell>
          <cell r="F254">
            <v>84107.89</v>
          </cell>
          <cell r="G254">
            <v>0</v>
          </cell>
          <cell r="H254">
            <v>1258366</v>
          </cell>
          <cell r="I254">
            <v>34169.03</v>
          </cell>
          <cell r="J254">
            <v>110596.43</v>
          </cell>
          <cell r="K254">
            <v>901.69</v>
          </cell>
          <cell r="L254">
            <v>25767.62</v>
          </cell>
          <cell r="M254">
            <v>33611.78</v>
          </cell>
          <cell r="N254">
            <v>718244.14</v>
          </cell>
          <cell r="O254">
            <v>2818067.33</v>
          </cell>
          <cell r="P254">
            <v>0.9</v>
          </cell>
          <cell r="Q254">
            <v>1</v>
          </cell>
          <cell r="S254">
            <v>5403</v>
          </cell>
          <cell r="T254">
            <v>111188307</v>
          </cell>
          <cell r="U254">
            <v>407684.29</v>
          </cell>
          <cell r="X254">
            <v>354</v>
          </cell>
          <cell r="Y254">
            <v>5</v>
          </cell>
          <cell r="Z254">
            <v>66</v>
          </cell>
          <cell r="AA254">
            <v>2</v>
          </cell>
          <cell r="AB254">
            <v>420</v>
          </cell>
          <cell r="AC254">
            <v>145</v>
          </cell>
          <cell r="AD254">
            <v>45</v>
          </cell>
          <cell r="AE254">
            <v>3</v>
          </cell>
          <cell r="AF254">
            <v>133</v>
          </cell>
          <cell r="AG254">
            <v>0</v>
          </cell>
          <cell r="AH254">
            <v>0</v>
          </cell>
          <cell r="AI254">
            <v>3581</v>
          </cell>
          <cell r="AJ254">
            <v>1693</v>
          </cell>
          <cell r="AK254">
            <v>1163</v>
          </cell>
          <cell r="AL254">
            <v>530</v>
          </cell>
          <cell r="AM254">
            <v>114</v>
          </cell>
        </row>
        <row r="255">
          <cell r="A255">
            <v>248</v>
          </cell>
          <cell r="B255" t="str">
            <v>South Staffordshire</v>
          </cell>
          <cell r="C255" t="str">
            <v>E3435</v>
          </cell>
          <cell r="D255">
            <v>388762.18</v>
          </cell>
          <cell r="E255">
            <v>21105.98</v>
          </cell>
          <cell r="F255">
            <v>9947.75</v>
          </cell>
          <cell r="G255">
            <v>0</v>
          </cell>
          <cell r="H255">
            <v>558082</v>
          </cell>
          <cell r="I255">
            <v>6208.36</v>
          </cell>
          <cell r="J255">
            <v>165996.34</v>
          </cell>
          <cell r="K255">
            <v>1067.23</v>
          </cell>
          <cell r="L255">
            <v>3957.11</v>
          </cell>
          <cell r="M255">
            <v>0</v>
          </cell>
          <cell r="N255">
            <v>318265.93</v>
          </cell>
          <cell r="O255">
            <v>1573556.89</v>
          </cell>
          <cell r="P255">
            <v>0.9</v>
          </cell>
          <cell r="Q255">
            <v>1</v>
          </cell>
          <cell r="S255">
            <v>2503</v>
          </cell>
          <cell r="T255">
            <v>51631015</v>
          </cell>
          <cell r="U255">
            <v>191349.67</v>
          </cell>
          <cell r="X255">
            <v>84</v>
          </cell>
          <cell r="Y255">
            <v>9</v>
          </cell>
          <cell r="Z255">
            <v>13</v>
          </cell>
          <cell r="AA255">
            <v>0</v>
          </cell>
          <cell r="AB255">
            <v>282</v>
          </cell>
          <cell r="AC255">
            <v>50</v>
          </cell>
          <cell r="AD255">
            <v>35</v>
          </cell>
          <cell r="AE255">
            <v>8</v>
          </cell>
          <cell r="AF255">
            <v>10</v>
          </cell>
          <cell r="AG255">
            <v>0</v>
          </cell>
          <cell r="AH255">
            <v>0</v>
          </cell>
          <cell r="AI255">
            <v>1524</v>
          </cell>
          <cell r="AJ255">
            <v>904</v>
          </cell>
          <cell r="AK255">
            <v>620</v>
          </cell>
          <cell r="AL255">
            <v>284</v>
          </cell>
          <cell r="AM255">
            <v>69</v>
          </cell>
        </row>
        <row r="256">
          <cell r="A256">
            <v>249</v>
          </cell>
          <cell r="B256" t="str">
            <v>South Tyneside</v>
          </cell>
          <cell r="C256" t="str">
            <v>E4504</v>
          </cell>
          <cell r="D256">
            <v>1610000</v>
          </cell>
          <cell r="E256">
            <v>44666.38</v>
          </cell>
          <cell r="F256">
            <v>0</v>
          </cell>
          <cell r="G256">
            <v>65000</v>
          </cell>
          <cell r="H256">
            <v>1504379.01</v>
          </cell>
          <cell r="I256">
            <v>100000</v>
          </cell>
          <cell r="J256">
            <v>295862.65999999997</v>
          </cell>
          <cell r="K256">
            <v>65.16</v>
          </cell>
          <cell r="L256">
            <v>0</v>
          </cell>
          <cell r="M256">
            <v>0</v>
          </cell>
          <cell r="N256">
            <v>578588.02</v>
          </cell>
          <cell r="O256">
            <v>2136704.5</v>
          </cell>
          <cell r="P256">
            <v>1.7</v>
          </cell>
          <cell r="Q256">
            <v>1</v>
          </cell>
          <cell r="S256">
            <v>3581</v>
          </cell>
          <cell r="T256">
            <v>80548980</v>
          </cell>
          <cell r="U256">
            <v>412426.69</v>
          </cell>
          <cell r="X256">
            <v>153</v>
          </cell>
          <cell r="Y256">
            <v>5</v>
          </cell>
          <cell r="Z256">
            <v>0</v>
          </cell>
          <cell r="AA256">
            <v>4</v>
          </cell>
          <cell r="AB256">
            <v>503</v>
          </cell>
          <cell r="AC256">
            <v>128</v>
          </cell>
          <cell r="AD256">
            <v>46</v>
          </cell>
          <cell r="AE256">
            <v>1</v>
          </cell>
          <cell r="AF256">
            <v>0</v>
          </cell>
          <cell r="AG256">
            <v>0</v>
          </cell>
          <cell r="AH256">
            <v>0</v>
          </cell>
          <cell r="AI256">
            <v>2193</v>
          </cell>
          <cell r="AJ256">
            <v>1352</v>
          </cell>
          <cell r="AK256">
            <v>1030</v>
          </cell>
          <cell r="AL256">
            <v>322</v>
          </cell>
          <cell r="AM256">
            <v>79</v>
          </cell>
        </row>
        <row r="257">
          <cell r="A257">
            <v>250</v>
          </cell>
          <cell r="B257" t="str">
            <v>Southampton</v>
          </cell>
          <cell r="C257" t="str">
            <v>E1702</v>
          </cell>
          <cell r="D257">
            <v>7621710.9000000004</v>
          </cell>
          <cell r="E257">
            <v>46087.62</v>
          </cell>
          <cell r="F257">
            <v>0</v>
          </cell>
          <cell r="G257">
            <v>200000</v>
          </cell>
          <cell r="H257">
            <v>2295857.6</v>
          </cell>
          <cell r="I257">
            <v>0</v>
          </cell>
          <cell r="J257">
            <v>46139.75</v>
          </cell>
          <cell r="K257">
            <v>0</v>
          </cell>
          <cell r="L257">
            <v>0</v>
          </cell>
          <cell r="M257">
            <v>0</v>
          </cell>
          <cell r="N257">
            <v>1902149.66</v>
          </cell>
          <cell r="O257">
            <v>2738073.2</v>
          </cell>
          <cell r="P257">
            <v>1.3</v>
          </cell>
          <cell r="Q257">
            <v>1.036</v>
          </cell>
          <cell r="S257">
            <v>6500</v>
          </cell>
          <cell r="T257">
            <v>261314763</v>
          </cell>
          <cell r="U257">
            <v>1107338.1100000001</v>
          </cell>
          <cell r="X257">
            <v>308</v>
          </cell>
          <cell r="Y257">
            <v>7</v>
          </cell>
          <cell r="Z257">
            <v>0</v>
          </cell>
          <cell r="AA257">
            <v>3</v>
          </cell>
          <cell r="AB257">
            <v>1056</v>
          </cell>
          <cell r="AC257">
            <v>0</v>
          </cell>
          <cell r="AD257">
            <v>33</v>
          </cell>
          <cell r="AE257">
            <v>0</v>
          </cell>
          <cell r="AF257">
            <v>0</v>
          </cell>
          <cell r="AG257">
            <v>0</v>
          </cell>
          <cell r="AH257">
            <v>0</v>
          </cell>
          <cell r="AI257">
            <v>4684</v>
          </cell>
          <cell r="AJ257">
            <v>1511</v>
          </cell>
          <cell r="AK257">
            <v>832</v>
          </cell>
          <cell r="AL257">
            <v>679</v>
          </cell>
          <cell r="AM257">
            <v>263</v>
          </cell>
        </row>
        <row r="258">
          <cell r="A258">
            <v>251</v>
          </cell>
          <cell r="B258" t="str">
            <v>Southend-on-Sea</v>
          </cell>
          <cell r="C258" t="str">
            <v>E1501</v>
          </cell>
          <cell r="D258">
            <v>3095498.18</v>
          </cell>
          <cell r="E258">
            <v>52616.44</v>
          </cell>
          <cell r="F258">
            <v>0</v>
          </cell>
          <cell r="G258">
            <v>0</v>
          </cell>
          <cell r="H258">
            <v>2147615.91</v>
          </cell>
          <cell r="I258">
            <v>14775.88</v>
          </cell>
          <cell r="J258">
            <v>1617.36</v>
          </cell>
          <cell r="K258">
            <v>881.65</v>
          </cell>
          <cell r="L258">
            <v>0</v>
          </cell>
          <cell r="M258">
            <v>0</v>
          </cell>
          <cell r="N258">
            <v>848756.22</v>
          </cell>
          <cell r="O258">
            <v>2969134.39</v>
          </cell>
          <cell r="P258">
            <v>1.3</v>
          </cell>
          <cell r="Q258">
            <v>1.0129999999999999</v>
          </cell>
          <cell r="S258">
            <v>5684</v>
          </cell>
          <cell r="T258">
            <v>118785677</v>
          </cell>
          <cell r="U258">
            <v>483965.69</v>
          </cell>
          <cell r="X258">
            <v>197</v>
          </cell>
          <cell r="Y258">
            <v>17</v>
          </cell>
          <cell r="Z258">
            <v>0</v>
          </cell>
          <cell r="AA258">
            <v>0</v>
          </cell>
          <cell r="AB258">
            <v>667</v>
          </cell>
          <cell r="AC258">
            <v>68</v>
          </cell>
          <cell r="AD258">
            <v>6</v>
          </cell>
          <cell r="AE258">
            <v>17</v>
          </cell>
          <cell r="AF258">
            <v>0</v>
          </cell>
          <cell r="AG258">
            <v>0</v>
          </cell>
          <cell r="AH258">
            <v>0</v>
          </cell>
          <cell r="AI258">
            <v>3093</v>
          </cell>
          <cell r="AJ258">
            <v>2399</v>
          </cell>
          <cell r="AK258">
            <v>1576</v>
          </cell>
          <cell r="AL258">
            <v>823</v>
          </cell>
          <cell r="AM258">
            <v>185</v>
          </cell>
        </row>
        <row r="259">
          <cell r="A259">
            <v>252</v>
          </cell>
          <cell r="B259" t="str">
            <v>Southwark</v>
          </cell>
          <cell r="C259" t="str">
            <v>E5019</v>
          </cell>
          <cell r="D259">
            <v>22615091.719999999</v>
          </cell>
          <cell r="E259">
            <v>49356.800000000003</v>
          </cell>
          <cell r="F259">
            <v>0</v>
          </cell>
          <cell r="G259">
            <v>0</v>
          </cell>
          <cell r="H259">
            <v>10417468.77</v>
          </cell>
          <cell r="I259">
            <v>88521.76</v>
          </cell>
          <cell r="J259">
            <v>31970.94</v>
          </cell>
          <cell r="K259">
            <v>0</v>
          </cell>
          <cell r="L259">
            <v>0</v>
          </cell>
          <cell r="M259">
            <v>0</v>
          </cell>
          <cell r="N259">
            <v>3779922.04</v>
          </cell>
          <cell r="O259">
            <v>4075552.7</v>
          </cell>
          <cell r="P259">
            <v>1.1000000000000001</v>
          </cell>
          <cell r="Q259">
            <v>1.2208000000000001</v>
          </cell>
          <cell r="S259">
            <v>10673</v>
          </cell>
          <cell r="T259">
            <v>511392544</v>
          </cell>
          <cell r="U259">
            <v>2509078.17</v>
          </cell>
          <cell r="X259">
            <v>723</v>
          </cell>
          <cell r="Y259">
            <v>6</v>
          </cell>
          <cell r="Z259">
            <v>0</v>
          </cell>
          <cell r="AA259">
            <v>0</v>
          </cell>
          <cell r="AB259">
            <v>1092</v>
          </cell>
          <cell r="AC259">
            <v>126</v>
          </cell>
          <cell r="AD259">
            <v>9</v>
          </cell>
          <cell r="AE259">
            <v>6</v>
          </cell>
          <cell r="AF259">
            <v>0</v>
          </cell>
          <cell r="AG259">
            <v>0</v>
          </cell>
          <cell r="AH259">
            <v>0</v>
          </cell>
          <cell r="AI259">
            <v>4066</v>
          </cell>
          <cell r="AJ259">
            <v>2120</v>
          </cell>
          <cell r="AK259">
            <v>1066</v>
          </cell>
          <cell r="AL259">
            <v>1054</v>
          </cell>
          <cell r="AM259">
            <v>4342</v>
          </cell>
        </row>
        <row r="260">
          <cell r="A260">
            <v>253</v>
          </cell>
          <cell r="B260" t="str">
            <v>Spelthorne</v>
          </cell>
          <cell r="C260" t="str">
            <v>E3637</v>
          </cell>
          <cell r="D260">
            <v>1632247.44</v>
          </cell>
          <cell r="E260">
            <v>11816.4</v>
          </cell>
          <cell r="F260">
            <v>0</v>
          </cell>
          <cell r="G260">
            <v>0</v>
          </cell>
          <cell r="H260">
            <v>1030388.8</v>
          </cell>
          <cell r="I260">
            <v>19742.400000000001</v>
          </cell>
          <cell r="J260">
            <v>52330.14</v>
          </cell>
          <cell r="K260">
            <v>738.53</v>
          </cell>
          <cell r="L260">
            <v>0</v>
          </cell>
          <cell r="M260">
            <v>0</v>
          </cell>
          <cell r="N260">
            <v>737143.59</v>
          </cell>
          <cell r="O260">
            <v>982954.12</v>
          </cell>
          <cell r="P260">
            <v>0.9</v>
          </cell>
          <cell r="Q260">
            <v>1.1039000000000001</v>
          </cell>
          <cell r="S260">
            <v>2479</v>
          </cell>
          <cell r="T260">
            <v>103891840</v>
          </cell>
          <cell r="U260">
            <v>409422.43</v>
          </cell>
          <cell r="X260">
            <v>81</v>
          </cell>
          <cell r="Y260">
            <v>2</v>
          </cell>
          <cell r="Z260">
            <v>0</v>
          </cell>
          <cell r="AA260">
            <v>0</v>
          </cell>
          <cell r="AB260">
            <v>294</v>
          </cell>
          <cell r="AC260">
            <v>59</v>
          </cell>
          <cell r="AD260">
            <v>17</v>
          </cell>
          <cell r="AE260">
            <v>2</v>
          </cell>
          <cell r="AF260">
            <v>0</v>
          </cell>
          <cell r="AG260">
            <v>0</v>
          </cell>
          <cell r="AH260">
            <v>0</v>
          </cell>
          <cell r="AI260">
            <v>1846</v>
          </cell>
          <cell r="AJ260">
            <v>540</v>
          </cell>
          <cell r="AK260">
            <v>336</v>
          </cell>
          <cell r="AL260">
            <v>204</v>
          </cell>
          <cell r="AM260">
            <v>50</v>
          </cell>
        </row>
        <row r="261">
          <cell r="A261">
            <v>254</v>
          </cell>
          <cell r="B261" t="str">
            <v>St Albans</v>
          </cell>
          <cell r="C261" t="str">
            <v>E1936</v>
          </cell>
          <cell r="D261">
            <v>4019179.12</v>
          </cell>
          <cell r="E261">
            <v>128149.17</v>
          </cell>
          <cell r="F261">
            <v>0</v>
          </cell>
          <cell r="G261">
            <v>0</v>
          </cell>
          <cell r="H261">
            <v>860549</v>
          </cell>
          <cell r="I261">
            <v>16000</v>
          </cell>
          <cell r="J261">
            <v>26000</v>
          </cell>
          <cell r="K261">
            <v>1075</v>
          </cell>
          <cell r="L261">
            <v>0</v>
          </cell>
          <cell r="M261">
            <v>0</v>
          </cell>
          <cell r="N261">
            <v>1132543.1599999999</v>
          </cell>
          <cell r="O261">
            <v>1124319.3999999999</v>
          </cell>
          <cell r="P261">
            <v>0.9</v>
          </cell>
          <cell r="Q261">
            <v>1.0815999999999999</v>
          </cell>
          <cell r="S261">
            <v>3800</v>
          </cell>
          <cell r="T261">
            <v>156963671</v>
          </cell>
          <cell r="U261">
            <v>621567.4</v>
          </cell>
          <cell r="X261">
            <v>222</v>
          </cell>
          <cell r="Y261">
            <v>15</v>
          </cell>
          <cell r="Z261">
            <v>0</v>
          </cell>
          <cell r="AA261">
            <v>0</v>
          </cell>
          <cell r="AB261">
            <v>428</v>
          </cell>
          <cell r="AC261">
            <v>60</v>
          </cell>
          <cell r="AD261">
            <v>22</v>
          </cell>
          <cell r="AE261">
            <v>1</v>
          </cell>
          <cell r="AF261">
            <v>0</v>
          </cell>
          <cell r="AG261">
            <v>0</v>
          </cell>
          <cell r="AH261">
            <v>0</v>
          </cell>
          <cell r="AI261">
            <v>1883</v>
          </cell>
          <cell r="AJ261">
            <v>669</v>
          </cell>
          <cell r="AK261">
            <v>275</v>
          </cell>
          <cell r="AL261">
            <v>394</v>
          </cell>
          <cell r="AM261">
            <v>1225</v>
          </cell>
        </row>
        <row r="262">
          <cell r="A262">
            <v>255</v>
          </cell>
          <cell r="B262" t="str">
            <v>St Edmundsbury</v>
          </cell>
          <cell r="C262" t="str">
            <v>E3535</v>
          </cell>
          <cell r="D262">
            <v>2117132</v>
          </cell>
          <cell r="E262">
            <v>19745</v>
          </cell>
          <cell r="F262">
            <v>50662.31</v>
          </cell>
          <cell r="G262">
            <v>2222.96</v>
          </cell>
          <cell r="H262">
            <v>1024040</v>
          </cell>
          <cell r="I262">
            <v>30307.67</v>
          </cell>
          <cell r="J262">
            <v>33942.089999999997</v>
          </cell>
          <cell r="K262">
            <v>0</v>
          </cell>
          <cell r="L262">
            <v>16452.13</v>
          </cell>
          <cell r="M262">
            <v>0</v>
          </cell>
          <cell r="N262">
            <v>780100.24</v>
          </cell>
          <cell r="O262">
            <v>1618663.78</v>
          </cell>
          <cell r="P262">
            <v>0.9</v>
          </cell>
          <cell r="Q262">
            <v>1.0054000000000001</v>
          </cell>
          <cell r="S262">
            <v>3664</v>
          </cell>
          <cell r="T262">
            <v>111226032</v>
          </cell>
          <cell r="U262">
            <v>432237.13</v>
          </cell>
          <cell r="X262">
            <v>232</v>
          </cell>
          <cell r="Y262">
            <v>8</v>
          </cell>
          <cell r="Z262">
            <v>40</v>
          </cell>
          <cell r="AA262">
            <v>0</v>
          </cell>
          <cell r="AB262">
            <v>350</v>
          </cell>
          <cell r="AC262">
            <v>81</v>
          </cell>
          <cell r="AD262">
            <v>34</v>
          </cell>
          <cell r="AE262">
            <v>0</v>
          </cell>
          <cell r="AF262">
            <v>22</v>
          </cell>
          <cell r="AG262">
            <v>11</v>
          </cell>
          <cell r="AH262">
            <v>0</v>
          </cell>
          <cell r="AI262">
            <v>2501</v>
          </cell>
          <cell r="AJ262">
            <v>995</v>
          </cell>
          <cell r="AK262">
            <v>637</v>
          </cell>
          <cell r="AL262">
            <v>358</v>
          </cell>
          <cell r="AM262">
            <v>127</v>
          </cell>
        </row>
        <row r="263">
          <cell r="A263">
            <v>256</v>
          </cell>
          <cell r="B263" t="str">
            <v>St Helens</v>
          </cell>
          <cell r="C263" t="str">
            <v>E4303</v>
          </cell>
          <cell r="D263">
            <v>2346092.71</v>
          </cell>
          <cell r="E263">
            <v>73399.009999999995</v>
          </cell>
          <cell r="F263">
            <v>778.6</v>
          </cell>
          <cell r="G263">
            <v>0</v>
          </cell>
          <cell r="H263">
            <v>2211449.7799999998</v>
          </cell>
          <cell r="I263">
            <v>55683.6</v>
          </cell>
          <cell r="J263">
            <v>127106.86</v>
          </cell>
          <cell r="K263">
            <v>4587.4399999999996</v>
          </cell>
          <cell r="L263">
            <v>0</v>
          </cell>
          <cell r="M263">
            <v>0</v>
          </cell>
          <cell r="N263">
            <v>886050</v>
          </cell>
          <cell r="O263">
            <v>2536733.88</v>
          </cell>
          <cell r="P263">
            <v>1.7</v>
          </cell>
          <cell r="Q263">
            <v>1.0075000000000001</v>
          </cell>
          <cell r="S263">
            <v>4371</v>
          </cell>
          <cell r="T263">
            <v>129408045</v>
          </cell>
          <cell r="U263">
            <v>669131.94999999995</v>
          </cell>
          <cell r="X263">
            <v>184</v>
          </cell>
          <cell r="Y263">
            <v>13</v>
          </cell>
          <cell r="Z263">
            <v>1</v>
          </cell>
          <cell r="AA263">
            <v>0</v>
          </cell>
          <cell r="AB263">
            <v>679</v>
          </cell>
          <cell r="AC263">
            <v>99</v>
          </cell>
          <cell r="AD263">
            <v>16</v>
          </cell>
          <cell r="AE263">
            <v>13</v>
          </cell>
          <cell r="AF263">
            <v>0</v>
          </cell>
          <cell r="AG263">
            <v>0</v>
          </cell>
          <cell r="AH263">
            <v>0</v>
          </cell>
          <cell r="AI263">
            <v>2799</v>
          </cell>
          <cell r="AJ263">
            <v>1456</v>
          </cell>
          <cell r="AK263">
            <v>1024</v>
          </cell>
          <cell r="AL263">
            <v>432</v>
          </cell>
          <cell r="AM263">
            <v>94</v>
          </cell>
        </row>
        <row r="264">
          <cell r="A264">
            <v>257</v>
          </cell>
          <cell r="B264" t="str">
            <v>Stafford</v>
          </cell>
          <cell r="C264" t="str">
            <v>E3436</v>
          </cell>
          <cell r="D264">
            <v>1957705.4</v>
          </cell>
          <cell r="E264">
            <v>14737.6</v>
          </cell>
          <cell r="F264">
            <v>21592.26</v>
          </cell>
          <cell r="G264">
            <v>101214</v>
          </cell>
          <cell r="H264">
            <v>1691841.46</v>
          </cell>
          <cell r="I264">
            <v>47455.93</v>
          </cell>
          <cell r="J264">
            <v>56068.7</v>
          </cell>
          <cell r="K264">
            <v>921.1</v>
          </cell>
          <cell r="L264">
            <v>13467.58</v>
          </cell>
          <cell r="M264">
            <v>0</v>
          </cell>
          <cell r="N264">
            <v>729332.37</v>
          </cell>
          <cell r="O264">
            <v>1902649.11</v>
          </cell>
          <cell r="P264">
            <v>0.9</v>
          </cell>
          <cell r="Q264">
            <v>1</v>
          </cell>
          <cell r="S264">
            <v>3941</v>
          </cell>
          <cell r="T264">
            <v>110624200</v>
          </cell>
          <cell r="U264">
            <v>414916.06</v>
          </cell>
          <cell r="X264">
            <v>215</v>
          </cell>
          <cell r="Y264">
            <v>5</v>
          </cell>
          <cell r="Z264">
            <v>27</v>
          </cell>
          <cell r="AA264">
            <v>5</v>
          </cell>
          <cell r="AB264">
            <v>477</v>
          </cell>
          <cell r="AC264">
            <v>152</v>
          </cell>
          <cell r="AD264">
            <v>39</v>
          </cell>
          <cell r="AE264">
            <v>5</v>
          </cell>
          <cell r="AF264">
            <v>20</v>
          </cell>
          <cell r="AG264">
            <v>0</v>
          </cell>
          <cell r="AH264">
            <v>0</v>
          </cell>
          <cell r="AI264">
            <v>2721</v>
          </cell>
          <cell r="AJ264">
            <v>1096</v>
          </cell>
          <cell r="AK264">
            <v>735</v>
          </cell>
          <cell r="AL264">
            <v>361</v>
          </cell>
          <cell r="AM264">
            <v>106</v>
          </cell>
        </row>
        <row r="265">
          <cell r="A265">
            <v>258</v>
          </cell>
          <cell r="B265" t="str">
            <v>Staffordshire Moorlands</v>
          </cell>
          <cell r="C265" t="str">
            <v>E3437</v>
          </cell>
          <cell r="D265">
            <v>796825.18</v>
          </cell>
          <cell r="E265">
            <v>45616.800000000003</v>
          </cell>
          <cell r="F265">
            <v>17298.52</v>
          </cell>
          <cell r="G265">
            <v>0</v>
          </cell>
          <cell r="H265">
            <v>392150.84</v>
          </cell>
          <cell r="I265">
            <v>14800</v>
          </cell>
          <cell r="J265">
            <v>44300</v>
          </cell>
          <cell r="K265">
            <v>700</v>
          </cell>
          <cell r="L265">
            <v>4900</v>
          </cell>
          <cell r="M265">
            <v>0</v>
          </cell>
          <cell r="N265">
            <v>289063.2</v>
          </cell>
          <cell r="O265">
            <v>1810575.12</v>
          </cell>
          <cell r="P265">
            <v>0.9</v>
          </cell>
          <cell r="Q265">
            <v>1</v>
          </cell>
          <cell r="S265">
            <v>2939</v>
          </cell>
          <cell r="T265">
            <v>46602050</v>
          </cell>
          <cell r="U265">
            <v>170053.15</v>
          </cell>
          <cell r="X265">
            <v>169</v>
          </cell>
          <cell r="Y265">
            <v>4</v>
          </cell>
          <cell r="Z265">
            <v>20</v>
          </cell>
          <cell r="AA265">
            <v>0</v>
          </cell>
          <cell r="AB265">
            <v>442</v>
          </cell>
          <cell r="AC265">
            <v>49</v>
          </cell>
          <cell r="AD265">
            <v>31</v>
          </cell>
          <cell r="AE265">
            <v>2</v>
          </cell>
          <cell r="AF265">
            <v>11</v>
          </cell>
          <cell r="AG265">
            <v>0</v>
          </cell>
          <cell r="AH265">
            <v>0</v>
          </cell>
          <cell r="AI265">
            <v>948</v>
          </cell>
          <cell r="AJ265">
            <v>1179</v>
          </cell>
          <cell r="AK265">
            <v>904</v>
          </cell>
          <cell r="AL265">
            <v>275</v>
          </cell>
          <cell r="AM265">
            <v>787</v>
          </cell>
        </row>
        <row r="266">
          <cell r="A266">
            <v>259</v>
          </cell>
          <cell r="B266" t="str">
            <v>Stevenage</v>
          </cell>
          <cell r="C266" t="str">
            <v>E1937</v>
          </cell>
          <cell r="D266">
            <v>1264006.1299999999</v>
          </cell>
          <cell r="E266">
            <v>0</v>
          </cell>
          <cell r="F266">
            <v>0</v>
          </cell>
          <cell r="G266">
            <v>33161.019999999997</v>
          </cell>
          <cell r="H266">
            <v>927105.38</v>
          </cell>
          <cell r="I266">
            <v>105068.5</v>
          </cell>
          <cell r="J266">
            <v>17032.5</v>
          </cell>
          <cell r="K266">
            <v>0</v>
          </cell>
          <cell r="L266">
            <v>0</v>
          </cell>
          <cell r="M266">
            <v>0</v>
          </cell>
          <cell r="N266">
            <v>2208596.5499999998</v>
          </cell>
          <cell r="O266">
            <v>661020.12</v>
          </cell>
          <cell r="P266">
            <v>0.9</v>
          </cell>
          <cell r="Q266">
            <v>1.0392999999999999</v>
          </cell>
          <cell r="S266">
            <v>2082</v>
          </cell>
          <cell r="T266">
            <v>111975335</v>
          </cell>
          <cell r="U266">
            <v>468612.65</v>
          </cell>
          <cell r="X266">
            <v>107</v>
          </cell>
          <cell r="Y266">
            <v>0</v>
          </cell>
          <cell r="Z266">
            <v>0</v>
          </cell>
          <cell r="AA266">
            <v>0</v>
          </cell>
          <cell r="AB266">
            <v>142</v>
          </cell>
          <cell r="AC266">
            <v>75</v>
          </cell>
          <cell r="AD266">
            <v>14</v>
          </cell>
          <cell r="AE266">
            <v>0</v>
          </cell>
          <cell r="AF266">
            <v>0</v>
          </cell>
          <cell r="AG266">
            <v>0</v>
          </cell>
          <cell r="AH266">
            <v>0</v>
          </cell>
          <cell r="AI266">
            <v>1609</v>
          </cell>
          <cell r="AJ266">
            <v>352</v>
          </cell>
          <cell r="AK266">
            <v>135</v>
          </cell>
          <cell r="AL266">
            <v>217</v>
          </cell>
          <cell r="AM266">
            <v>58</v>
          </cell>
        </row>
        <row r="267">
          <cell r="A267">
            <v>260</v>
          </cell>
          <cell r="B267" t="str">
            <v>Stockport</v>
          </cell>
          <cell r="C267" t="str">
            <v>E4207</v>
          </cell>
          <cell r="D267">
            <v>3588432.54</v>
          </cell>
          <cell r="E267">
            <v>208900.63</v>
          </cell>
          <cell r="F267">
            <v>0</v>
          </cell>
          <cell r="G267">
            <v>56361.83</v>
          </cell>
          <cell r="H267">
            <v>4594860.41</v>
          </cell>
          <cell r="I267">
            <v>0</v>
          </cell>
          <cell r="J267">
            <v>40337.050000000003</v>
          </cell>
          <cell r="K267">
            <v>3812.85</v>
          </cell>
          <cell r="L267">
            <v>0</v>
          </cell>
          <cell r="M267">
            <v>0</v>
          </cell>
          <cell r="N267">
            <v>1617011.64</v>
          </cell>
          <cell r="O267">
            <v>5499912.2599999998</v>
          </cell>
          <cell r="P267">
            <v>1.7</v>
          </cell>
          <cell r="Q267">
            <v>1.0168999999999999</v>
          </cell>
          <cell r="S267">
            <v>9953</v>
          </cell>
          <cell r="T267">
            <v>237586694</v>
          </cell>
          <cell r="U267">
            <v>1262188.02</v>
          </cell>
          <cell r="X267">
            <v>295</v>
          </cell>
          <cell r="Y267">
            <v>35</v>
          </cell>
          <cell r="Z267">
            <v>0</v>
          </cell>
          <cell r="AA267">
            <v>0</v>
          </cell>
          <cell r="AB267">
            <v>1116</v>
          </cell>
          <cell r="AC267">
            <v>0</v>
          </cell>
          <cell r="AD267">
            <v>19</v>
          </cell>
          <cell r="AE267">
            <v>12</v>
          </cell>
          <cell r="AF267">
            <v>0</v>
          </cell>
          <cell r="AG267">
            <v>0</v>
          </cell>
          <cell r="AH267">
            <v>0</v>
          </cell>
          <cell r="AI267">
            <v>6397</v>
          </cell>
          <cell r="AJ267">
            <v>3138</v>
          </cell>
          <cell r="AK267">
            <v>2016</v>
          </cell>
          <cell r="AL267">
            <v>1122</v>
          </cell>
          <cell r="AM267">
            <v>340</v>
          </cell>
        </row>
        <row r="268">
          <cell r="A268">
            <v>261</v>
          </cell>
          <cell r="B268" t="str">
            <v>Stockton-on-Tees</v>
          </cell>
          <cell r="C268" t="str">
            <v>E0704</v>
          </cell>
          <cell r="D268">
            <v>3064646.7</v>
          </cell>
          <cell r="E268">
            <v>29934.880000000001</v>
          </cell>
          <cell r="F268">
            <v>4763.2</v>
          </cell>
          <cell r="G268">
            <v>250000</v>
          </cell>
          <cell r="H268">
            <v>1250747.8899999999</v>
          </cell>
          <cell r="I268">
            <v>43094.239999999998</v>
          </cell>
          <cell r="J268">
            <v>42881.34</v>
          </cell>
          <cell r="K268">
            <v>1294.8499999999999</v>
          </cell>
          <cell r="L268">
            <v>4688.78</v>
          </cell>
          <cell r="M268">
            <v>2381.8200000000002</v>
          </cell>
          <cell r="N268">
            <v>1405791.27</v>
          </cell>
          <cell r="O268">
            <v>2104332.23</v>
          </cell>
          <cell r="P268">
            <v>1.3</v>
          </cell>
          <cell r="Q268">
            <v>1</v>
          </cell>
          <cell r="S268">
            <v>4983</v>
          </cell>
          <cell r="T268">
            <v>194790164</v>
          </cell>
          <cell r="U268">
            <v>843127.65</v>
          </cell>
          <cell r="X268">
            <v>234</v>
          </cell>
          <cell r="Y268">
            <v>9</v>
          </cell>
          <cell r="Z268">
            <v>5</v>
          </cell>
          <cell r="AA268">
            <v>0</v>
          </cell>
          <cell r="AB268">
            <v>361</v>
          </cell>
          <cell r="AC268">
            <v>104</v>
          </cell>
          <cell r="AD268">
            <v>17</v>
          </cell>
          <cell r="AE268">
            <v>5</v>
          </cell>
          <cell r="AF268">
            <v>6</v>
          </cell>
          <cell r="AG268">
            <v>2</v>
          </cell>
          <cell r="AH268">
            <v>0</v>
          </cell>
          <cell r="AI268">
            <v>3604</v>
          </cell>
          <cell r="AJ268">
            <v>1271</v>
          </cell>
          <cell r="AK268">
            <v>917</v>
          </cell>
          <cell r="AL268">
            <v>354</v>
          </cell>
          <cell r="AM268">
            <v>84</v>
          </cell>
        </row>
        <row r="269">
          <cell r="A269">
            <v>262</v>
          </cell>
          <cell r="B269" t="str">
            <v>Stoke-on-Trent</v>
          </cell>
          <cell r="C269" t="str">
            <v>E3401</v>
          </cell>
          <cell r="D269">
            <v>3488867.92</v>
          </cell>
          <cell r="E269">
            <v>51984.06</v>
          </cell>
          <cell r="F269">
            <v>0</v>
          </cell>
          <cell r="G269">
            <v>0</v>
          </cell>
          <cell r="H269">
            <v>4798732.8</v>
          </cell>
          <cell r="I269">
            <v>42178.74</v>
          </cell>
          <cell r="J269">
            <v>110021.1</v>
          </cell>
          <cell r="K269">
            <v>1223.02</v>
          </cell>
          <cell r="L269">
            <v>0</v>
          </cell>
          <cell r="M269">
            <v>0</v>
          </cell>
          <cell r="N269">
            <v>1462867.55</v>
          </cell>
          <cell r="O269">
            <v>4789789.32</v>
          </cell>
          <cell r="P269">
            <v>1.3</v>
          </cell>
          <cell r="Q269">
            <v>1</v>
          </cell>
          <cell r="S269">
            <v>8566</v>
          </cell>
          <cell r="T269">
            <v>213412784</v>
          </cell>
          <cell r="U269">
            <v>878662.91</v>
          </cell>
          <cell r="X269">
            <v>311</v>
          </cell>
          <cell r="Y269">
            <v>12</v>
          </cell>
          <cell r="Z269">
            <v>0</v>
          </cell>
          <cell r="AA269">
            <v>0</v>
          </cell>
          <cell r="AB269">
            <v>1609</v>
          </cell>
          <cell r="AC269">
            <v>187</v>
          </cell>
          <cell r="AD269">
            <v>30</v>
          </cell>
          <cell r="AE269">
            <v>9</v>
          </cell>
          <cell r="AF269">
            <v>0</v>
          </cell>
          <cell r="AG269">
            <v>0</v>
          </cell>
          <cell r="AH269">
            <v>0</v>
          </cell>
          <cell r="AI269">
            <v>5494</v>
          </cell>
          <cell r="AJ269">
            <v>2836</v>
          </cell>
          <cell r="AK269">
            <v>1896</v>
          </cell>
          <cell r="AL269">
            <v>940</v>
          </cell>
          <cell r="AM269">
            <v>221</v>
          </cell>
        </row>
        <row r="270">
          <cell r="A270">
            <v>263</v>
          </cell>
          <cell r="B270" t="str">
            <v>Stratford-on-Avon</v>
          </cell>
          <cell r="C270" t="str">
            <v>E3734</v>
          </cell>
          <cell r="D270">
            <v>3472327.3</v>
          </cell>
          <cell r="E270">
            <v>43290.16</v>
          </cell>
          <cell r="F270">
            <v>41016.879999999997</v>
          </cell>
          <cell r="G270">
            <v>0</v>
          </cell>
          <cell r="H270">
            <v>900352.51</v>
          </cell>
          <cell r="I270">
            <v>11612.83</v>
          </cell>
          <cell r="J270">
            <v>24163.72</v>
          </cell>
          <cell r="K270">
            <v>0</v>
          </cell>
          <cell r="L270">
            <v>13976.62</v>
          </cell>
          <cell r="M270">
            <v>0</v>
          </cell>
          <cell r="N270">
            <v>890945.72</v>
          </cell>
          <cell r="O270">
            <v>2745016.44</v>
          </cell>
          <cell r="P270">
            <v>0.9</v>
          </cell>
          <cell r="Q270">
            <v>1.0213000000000001</v>
          </cell>
          <cell r="S270">
            <v>4888</v>
          </cell>
          <cell r="T270">
            <v>133375751</v>
          </cell>
          <cell r="U270">
            <v>512454.85</v>
          </cell>
          <cell r="X270">
            <v>319</v>
          </cell>
          <cell r="Y270">
            <v>9</v>
          </cell>
          <cell r="Z270">
            <v>26</v>
          </cell>
          <cell r="AA270">
            <v>0</v>
          </cell>
          <cell r="AB270">
            <v>285</v>
          </cell>
          <cell r="AC270">
            <v>19</v>
          </cell>
          <cell r="AD270">
            <v>25</v>
          </cell>
          <cell r="AE270">
            <v>0</v>
          </cell>
          <cell r="AF270">
            <v>20</v>
          </cell>
          <cell r="AG270">
            <v>0</v>
          </cell>
          <cell r="AH270">
            <v>0</v>
          </cell>
          <cell r="AI270">
            <v>3104</v>
          </cell>
          <cell r="AJ270">
            <v>1607</v>
          </cell>
          <cell r="AK270">
            <v>990</v>
          </cell>
          <cell r="AL270">
            <v>617</v>
          </cell>
          <cell r="AM270">
            <v>211</v>
          </cell>
        </row>
        <row r="271">
          <cell r="A271">
            <v>264</v>
          </cell>
          <cell r="B271" t="str">
            <v>Stroud</v>
          </cell>
          <cell r="C271" t="str">
            <v>E1635</v>
          </cell>
          <cell r="D271">
            <v>1694060.69</v>
          </cell>
          <cell r="E271">
            <v>46298.84</v>
          </cell>
          <cell r="F271">
            <v>36586.199999999997</v>
          </cell>
          <cell r="G271">
            <v>5647.05</v>
          </cell>
          <cell r="H271">
            <v>712171.67</v>
          </cell>
          <cell r="I271">
            <v>14131.89</v>
          </cell>
          <cell r="J271">
            <v>6308.72</v>
          </cell>
          <cell r="K271">
            <v>0</v>
          </cell>
          <cell r="L271">
            <v>997.01</v>
          </cell>
          <cell r="M271">
            <v>0</v>
          </cell>
          <cell r="N271">
            <v>399102.69</v>
          </cell>
          <cell r="O271">
            <v>2139730.06</v>
          </cell>
          <cell r="P271">
            <v>0.9</v>
          </cell>
          <cell r="Q271">
            <v>1.0197000000000001</v>
          </cell>
          <cell r="S271">
            <v>3840</v>
          </cell>
          <cell r="T271">
            <v>66066701</v>
          </cell>
          <cell r="U271">
            <v>239830.18</v>
          </cell>
          <cell r="X271">
            <v>292</v>
          </cell>
          <cell r="Y271">
            <v>11</v>
          </cell>
          <cell r="Z271">
            <v>34</v>
          </cell>
          <cell r="AA271">
            <v>4</v>
          </cell>
          <cell r="AB271">
            <v>383</v>
          </cell>
          <cell r="AC271">
            <v>129</v>
          </cell>
          <cell r="AD271">
            <v>6</v>
          </cell>
          <cell r="AE271">
            <v>0</v>
          </cell>
          <cell r="AF271">
            <v>4</v>
          </cell>
          <cell r="AG271">
            <v>0</v>
          </cell>
          <cell r="AH271">
            <v>0</v>
          </cell>
          <cell r="AI271">
            <v>2426</v>
          </cell>
          <cell r="AJ271">
            <v>1345</v>
          </cell>
          <cell r="AK271">
            <v>972</v>
          </cell>
          <cell r="AL271">
            <v>373</v>
          </cell>
          <cell r="AM271">
            <v>68</v>
          </cell>
        </row>
        <row r="272">
          <cell r="A272">
            <v>265</v>
          </cell>
          <cell r="B272" t="str">
            <v>Suffolk Coastal</v>
          </cell>
          <cell r="C272" t="str">
            <v>E3536</v>
          </cell>
          <cell r="D272">
            <v>1934141.71</v>
          </cell>
          <cell r="E272">
            <v>32957.68</v>
          </cell>
          <cell r="F272">
            <v>65100.68</v>
          </cell>
          <cell r="G272">
            <v>0</v>
          </cell>
          <cell r="H272">
            <v>994655.77</v>
          </cell>
          <cell r="I272">
            <v>18707.39</v>
          </cell>
          <cell r="J272">
            <v>229983.59</v>
          </cell>
          <cell r="K272">
            <v>0</v>
          </cell>
          <cell r="L272">
            <v>25791.25</v>
          </cell>
          <cell r="M272">
            <v>26514.73</v>
          </cell>
          <cell r="N272">
            <v>1092348.47</v>
          </cell>
          <cell r="O272">
            <v>2895389.5</v>
          </cell>
          <cell r="P272">
            <v>0.9</v>
          </cell>
          <cell r="Q272">
            <v>1.0054000000000001</v>
          </cell>
          <cell r="S272">
            <v>6514</v>
          </cell>
          <cell r="T272">
            <v>155413587</v>
          </cell>
          <cell r="U272">
            <v>421522.47</v>
          </cell>
          <cell r="X272">
            <v>339</v>
          </cell>
          <cell r="Y272">
            <v>20</v>
          </cell>
          <cell r="Z272">
            <v>49</v>
          </cell>
          <cell r="AA272">
            <v>0</v>
          </cell>
          <cell r="AB272">
            <v>602</v>
          </cell>
          <cell r="AC272">
            <v>265</v>
          </cell>
          <cell r="AD272">
            <v>63</v>
          </cell>
          <cell r="AE272">
            <v>0</v>
          </cell>
          <cell r="AF272">
            <v>38</v>
          </cell>
          <cell r="AG272">
            <v>13</v>
          </cell>
          <cell r="AH272">
            <v>0</v>
          </cell>
          <cell r="AI272">
            <v>3514</v>
          </cell>
          <cell r="AJ272">
            <v>2888</v>
          </cell>
          <cell r="AK272">
            <v>2446</v>
          </cell>
          <cell r="AL272">
            <v>442</v>
          </cell>
          <cell r="AM272">
            <v>84</v>
          </cell>
        </row>
        <row r="273">
          <cell r="A273">
            <v>266</v>
          </cell>
          <cell r="B273" t="str">
            <v>Sunderland</v>
          </cell>
          <cell r="C273" t="str">
            <v>E4505</v>
          </cell>
          <cell r="D273">
            <v>4340549.0999999996</v>
          </cell>
          <cell r="E273">
            <v>32992.5</v>
          </cell>
          <cell r="F273">
            <v>1512.08</v>
          </cell>
          <cell r="G273">
            <v>458096.42</v>
          </cell>
          <cell r="H273">
            <v>1810979.86</v>
          </cell>
          <cell r="I273">
            <v>97131.59</v>
          </cell>
          <cell r="J273">
            <v>57585.64</v>
          </cell>
          <cell r="K273">
            <v>137.4</v>
          </cell>
          <cell r="L273">
            <v>0</v>
          </cell>
          <cell r="M273">
            <v>0</v>
          </cell>
          <cell r="N273">
            <v>1545924.38</v>
          </cell>
          <cell r="O273">
            <v>3748606.45</v>
          </cell>
          <cell r="P273">
            <v>1.7</v>
          </cell>
          <cell r="Q273">
            <v>1</v>
          </cell>
          <cell r="S273">
            <v>7580</v>
          </cell>
          <cell r="T273">
            <v>216976220</v>
          </cell>
          <cell r="U273">
            <v>1174293.17</v>
          </cell>
          <cell r="X273">
            <v>304</v>
          </cell>
          <cell r="Y273">
            <v>6</v>
          </cell>
          <cell r="Z273">
            <v>2</v>
          </cell>
          <cell r="AA273">
            <v>0</v>
          </cell>
          <cell r="AB273">
            <v>485</v>
          </cell>
          <cell r="AC273">
            <v>117</v>
          </cell>
          <cell r="AD273">
            <v>15</v>
          </cell>
          <cell r="AE273">
            <v>1</v>
          </cell>
          <cell r="AF273">
            <v>0</v>
          </cell>
          <cell r="AG273">
            <v>0</v>
          </cell>
          <cell r="AH273">
            <v>0</v>
          </cell>
          <cell r="AI273">
            <v>2888</v>
          </cell>
          <cell r="AJ273">
            <v>2414</v>
          </cell>
          <cell r="AK273">
            <v>1812</v>
          </cell>
          <cell r="AL273">
            <v>602</v>
          </cell>
          <cell r="AM273">
            <v>2214</v>
          </cell>
        </row>
        <row r="274">
          <cell r="A274">
            <v>267</v>
          </cell>
          <cell r="B274" t="str">
            <v>Surrey Heath</v>
          </cell>
          <cell r="C274" t="str">
            <v>E3638</v>
          </cell>
          <cell r="D274">
            <v>1249704.83</v>
          </cell>
          <cell r="E274">
            <v>5358.6</v>
          </cell>
          <cell r="F274">
            <v>0</v>
          </cell>
          <cell r="G274">
            <v>50000</v>
          </cell>
          <cell r="H274">
            <v>1662689.15</v>
          </cell>
          <cell r="I274">
            <v>14913.85</v>
          </cell>
          <cell r="J274">
            <v>153240.48000000001</v>
          </cell>
          <cell r="K274">
            <v>1339.65</v>
          </cell>
          <cell r="L274">
            <v>0</v>
          </cell>
          <cell r="M274">
            <v>0</v>
          </cell>
          <cell r="N274">
            <v>609036.52</v>
          </cell>
          <cell r="O274">
            <v>917943.97</v>
          </cell>
          <cell r="P274">
            <v>0.9</v>
          </cell>
          <cell r="Q274">
            <v>1.1039000000000001</v>
          </cell>
          <cell r="S274">
            <v>2390</v>
          </cell>
          <cell r="T274">
            <v>86100305</v>
          </cell>
          <cell r="U274">
            <v>333929.15999999997</v>
          </cell>
          <cell r="X274">
            <v>86</v>
          </cell>
          <cell r="Y274">
            <v>4</v>
          </cell>
          <cell r="Z274">
            <v>0</v>
          </cell>
          <cell r="AA274">
            <v>0</v>
          </cell>
          <cell r="AB274">
            <v>215</v>
          </cell>
          <cell r="AC274">
            <v>52</v>
          </cell>
          <cell r="AD274">
            <v>16</v>
          </cell>
          <cell r="AE274">
            <v>4</v>
          </cell>
          <cell r="AF274">
            <v>0</v>
          </cell>
          <cell r="AG274">
            <v>0</v>
          </cell>
          <cell r="AH274">
            <v>0</v>
          </cell>
          <cell r="AI274">
            <v>1117</v>
          </cell>
          <cell r="AJ274">
            <v>539</v>
          </cell>
          <cell r="AK274">
            <v>266</v>
          </cell>
          <cell r="AL274">
            <v>273</v>
          </cell>
          <cell r="AM274">
            <v>718</v>
          </cell>
        </row>
        <row r="275">
          <cell r="A275">
            <v>268</v>
          </cell>
          <cell r="B275" t="str">
            <v>Sutton</v>
          </cell>
          <cell r="C275" t="str">
            <v>E5048</v>
          </cell>
          <cell r="D275">
            <v>3815014.26</v>
          </cell>
          <cell r="E275">
            <v>17678.8</v>
          </cell>
          <cell r="F275">
            <v>0</v>
          </cell>
          <cell r="G275">
            <v>50000</v>
          </cell>
          <cell r="H275">
            <v>909680</v>
          </cell>
          <cell r="I275">
            <v>0</v>
          </cell>
          <cell r="J275">
            <v>247959.74</v>
          </cell>
          <cell r="K275">
            <v>0</v>
          </cell>
          <cell r="L275">
            <v>0</v>
          </cell>
          <cell r="M275">
            <v>0</v>
          </cell>
          <cell r="N275">
            <v>863507.98</v>
          </cell>
          <cell r="O275">
            <v>2399746.84</v>
          </cell>
          <cell r="P275">
            <v>1.5</v>
          </cell>
          <cell r="Q275">
            <v>1.1113</v>
          </cell>
          <cell r="S275">
            <v>4191</v>
          </cell>
          <cell r="T275">
            <v>132896179</v>
          </cell>
          <cell r="U275">
            <v>755314.59</v>
          </cell>
          <cell r="X275">
            <v>183</v>
          </cell>
          <cell r="Y275">
            <v>4</v>
          </cell>
          <cell r="Z275">
            <v>0</v>
          </cell>
          <cell r="AA275">
            <v>0</v>
          </cell>
          <cell r="AB275">
            <v>427</v>
          </cell>
          <cell r="AC275">
            <v>0</v>
          </cell>
          <cell r="AD275">
            <v>32</v>
          </cell>
          <cell r="AE275">
            <v>0</v>
          </cell>
          <cell r="AF275">
            <v>0</v>
          </cell>
          <cell r="AG275">
            <v>0</v>
          </cell>
          <cell r="AH275">
            <v>0</v>
          </cell>
          <cell r="AI275">
            <v>2736</v>
          </cell>
          <cell r="AJ275">
            <v>1215</v>
          </cell>
          <cell r="AK275">
            <v>533</v>
          </cell>
          <cell r="AL275">
            <v>682</v>
          </cell>
          <cell r="AM275">
            <v>191</v>
          </cell>
        </row>
        <row r="276">
          <cell r="A276">
            <v>269</v>
          </cell>
          <cell r="B276" t="str">
            <v>Swale</v>
          </cell>
          <cell r="C276" t="str">
            <v>E2241</v>
          </cell>
          <cell r="D276">
            <v>1947309.84</v>
          </cell>
          <cell r="E276">
            <v>87116.4</v>
          </cell>
          <cell r="F276">
            <v>33730.89</v>
          </cell>
          <cell r="G276">
            <v>100000</v>
          </cell>
          <cell r="H276">
            <v>1171848</v>
          </cell>
          <cell r="I276">
            <v>54695.45</v>
          </cell>
          <cell r="J276">
            <v>86388.29</v>
          </cell>
          <cell r="K276">
            <v>5444.78</v>
          </cell>
          <cell r="L276">
            <v>25298.17</v>
          </cell>
          <cell r="M276">
            <v>0</v>
          </cell>
          <cell r="N276">
            <v>767678.02</v>
          </cell>
          <cell r="O276">
            <v>2255081.66</v>
          </cell>
          <cell r="P276">
            <v>0.9</v>
          </cell>
          <cell r="Q276">
            <v>1.0067999999999999</v>
          </cell>
          <cell r="S276">
            <v>4075</v>
          </cell>
          <cell r="T276">
            <v>105860490</v>
          </cell>
          <cell r="U276">
            <v>390802.15</v>
          </cell>
          <cell r="X276">
            <v>199</v>
          </cell>
          <cell r="Y276">
            <v>22</v>
          </cell>
          <cell r="Z276">
            <v>22</v>
          </cell>
          <cell r="AA276">
            <v>2</v>
          </cell>
          <cell r="AB276">
            <v>659</v>
          </cell>
          <cell r="AC276">
            <v>165</v>
          </cell>
          <cell r="AD276">
            <v>26</v>
          </cell>
          <cell r="AE276">
            <v>22</v>
          </cell>
          <cell r="AF276">
            <v>22</v>
          </cell>
          <cell r="AG276">
            <v>0</v>
          </cell>
          <cell r="AH276">
            <v>0</v>
          </cell>
          <cell r="AI276">
            <v>2678</v>
          </cell>
          <cell r="AJ276">
            <v>1263</v>
          </cell>
          <cell r="AK276">
            <v>826</v>
          </cell>
          <cell r="AL276">
            <v>437</v>
          </cell>
          <cell r="AM276">
            <v>85</v>
          </cell>
        </row>
        <row r="277">
          <cell r="A277">
            <v>270</v>
          </cell>
          <cell r="B277" t="str">
            <v>Swindon</v>
          </cell>
          <cell r="C277" t="str">
            <v>E3901</v>
          </cell>
          <cell r="D277">
            <v>4957115.3499999996</v>
          </cell>
          <cell r="E277">
            <v>42777.2</v>
          </cell>
          <cell r="F277">
            <v>5485.26</v>
          </cell>
          <cell r="G277">
            <v>541754.18999999994</v>
          </cell>
          <cell r="H277">
            <v>3827778.72</v>
          </cell>
          <cell r="I277">
            <v>43644.73</v>
          </cell>
          <cell r="J277">
            <v>33803.06</v>
          </cell>
          <cell r="K277">
            <v>2673.58</v>
          </cell>
          <cell r="L277">
            <v>4113.93</v>
          </cell>
          <cell r="M277">
            <v>0</v>
          </cell>
          <cell r="N277">
            <v>1937491.89</v>
          </cell>
          <cell r="O277">
            <v>1920822.81</v>
          </cell>
          <cell r="P277">
            <v>1.3</v>
          </cell>
          <cell r="Q277">
            <v>1.0216000000000001</v>
          </cell>
          <cell r="S277">
            <v>5287</v>
          </cell>
          <cell r="T277">
            <v>258660628</v>
          </cell>
          <cell r="U277">
            <v>1139935.68</v>
          </cell>
          <cell r="X277">
            <v>251</v>
          </cell>
          <cell r="Y277">
            <v>3</v>
          </cell>
          <cell r="Z277">
            <v>5</v>
          </cell>
          <cell r="AA277">
            <v>7</v>
          </cell>
          <cell r="AB277">
            <v>810</v>
          </cell>
          <cell r="AC277">
            <v>173</v>
          </cell>
          <cell r="AD277">
            <v>17</v>
          </cell>
          <cell r="AE277">
            <v>3</v>
          </cell>
          <cell r="AF277">
            <v>5</v>
          </cell>
          <cell r="AG277">
            <v>0</v>
          </cell>
          <cell r="AH277">
            <v>0</v>
          </cell>
          <cell r="AI277">
            <v>2537</v>
          </cell>
          <cell r="AJ277">
            <v>1094</v>
          </cell>
          <cell r="AK277">
            <v>636</v>
          </cell>
          <cell r="AL277">
            <v>458</v>
          </cell>
          <cell r="AM277">
            <v>1643</v>
          </cell>
        </row>
        <row r="278">
          <cell r="A278">
            <v>271</v>
          </cell>
          <cell r="B278" t="str">
            <v>Tameside</v>
          </cell>
          <cell r="C278" t="str">
            <v>E4208</v>
          </cell>
          <cell r="D278">
            <v>2200993.62</v>
          </cell>
          <cell r="E278">
            <v>107151.8</v>
          </cell>
          <cell r="F278">
            <v>0</v>
          </cell>
          <cell r="G278">
            <v>2010.14</v>
          </cell>
          <cell r="H278">
            <v>2830337.45</v>
          </cell>
          <cell r="I278">
            <v>64601.55</v>
          </cell>
          <cell r="J278">
            <v>120856.99</v>
          </cell>
          <cell r="K278">
            <v>2806.85</v>
          </cell>
          <cell r="L278">
            <v>0</v>
          </cell>
          <cell r="M278">
            <v>0</v>
          </cell>
          <cell r="N278">
            <v>986501.66</v>
          </cell>
          <cell r="O278">
            <v>4547431.3099999996</v>
          </cell>
          <cell r="P278">
            <v>1.7</v>
          </cell>
          <cell r="Q278">
            <v>1.0168999999999999</v>
          </cell>
          <cell r="S278">
            <v>7105</v>
          </cell>
          <cell r="T278">
            <v>150305543</v>
          </cell>
          <cell r="U278">
            <v>762877.93</v>
          </cell>
          <cell r="X278">
            <v>211</v>
          </cell>
          <cell r="Y278">
            <v>12</v>
          </cell>
          <cell r="Z278">
            <v>0</v>
          </cell>
          <cell r="AA278">
            <v>1</v>
          </cell>
          <cell r="AB278">
            <v>1407</v>
          </cell>
          <cell r="AC278">
            <v>180</v>
          </cell>
          <cell r="AD278">
            <v>38</v>
          </cell>
          <cell r="AE278">
            <v>8</v>
          </cell>
          <cell r="AF278">
            <v>0</v>
          </cell>
          <cell r="AG278">
            <v>0</v>
          </cell>
          <cell r="AH278">
            <v>0</v>
          </cell>
          <cell r="AI278">
            <v>4175</v>
          </cell>
          <cell r="AJ278">
            <v>2711</v>
          </cell>
          <cell r="AK278">
            <v>1963</v>
          </cell>
          <cell r="AL278">
            <v>748</v>
          </cell>
          <cell r="AM278">
            <v>137</v>
          </cell>
        </row>
        <row r="279">
          <cell r="A279">
            <v>272</v>
          </cell>
          <cell r="B279" t="str">
            <v>Tamworth</v>
          </cell>
          <cell r="C279" t="str">
            <v>E3439</v>
          </cell>
          <cell r="D279">
            <v>453096.12</v>
          </cell>
          <cell r="E279">
            <v>30915</v>
          </cell>
          <cell r="F279">
            <v>0</v>
          </cell>
          <cell r="G279">
            <v>16254.84</v>
          </cell>
          <cell r="H279">
            <v>2518584.67</v>
          </cell>
          <cell r="I279">
            <v>5116.16</v>
          </cell>
          <cell r="J279">
            <v>1889.25</v>
          </cell>
          <cell r="K279">
            <v>593.97</v>
          </cell>
          <cell r="L279">
            <v>0</v>
          </cell>
          <cell r="M279">
            <v>0</v>
          </cell>
          <cell r="N279">
            <v>573219.68000000005</v>
          </cell>
          <cell r="O279">
            <v>892831.13</v>
          </cell>
          <cell r="P279">
            <v>0.9</v>
          </cell>
          <cell r="Q279">
            <v>1</v>
          </cell>
          <cell r="S279">
            <v>1926</v>
          </cell>
          <cell r="T279">
            <v>78793206</v>
          </cell>
          <cell r="U279">
            <v>305921.95</v>
          </cell>
          <cell r="X279">
            <v>77</v>
          </cell>
          <cell r="Y279">
            <v>5</v>
          </cell>
          <cell r="Z279">
            <v>0</v>
          </cell>
          <cell r="AA279">
            <v>1</v>
          </cell>
          <cell r="AB279">
            <v>238</v>
          </cell>
          <cell r="AC279">
            <v>38</v>
          </cell>
          <cell r="AD279">
            <v>2</v>
          </cell>
          <cell r="AE279">
            <v>3</v>
          </cell>
          <cell r="AF279">
            <v>0</v>
          </cell>
          <cell r="AG279">
            <v>0</v>
          </cell>
          <cell r="AH279">
            <v>0</v>
          </cell>
          <cell r="AI279">
            <v>1436</v>
          </cell>
          <cell r="AJ279">
            <v>459</v>
          </cell>
          <cell r="AK279">
            <v>265</v>
          </cell>
          <cell r="AL279">
            <v>194</v>
          </cell>
          <cell r="AM279">
            <v>32</v>
          </cell>
        </row>
        <row r="280">
          <cell r="A280">
            <v>273</v>
          </cell>
          <cell r="B280" t="str">
            <v>Tandridge</v>
          </cell>
          <cell r="C280" t="str">
            <v>E3639</v>
          </cell>
          <cell r="D280">
            <v>1971599.3</v>
          </cell>
          <cell r="E280">
            <v>29460.39</v>
          </cell>
          <cell r="F280">
            <v>14007.3</v>
          </cell>
          <cell r="G280">
            <v>0</v>
          </cell>
          <cell r="H280">
            <v>591575.71</v>
          </cell>
          <cell r="I280">
            <v>9886.2099999999991</v>
          </cell>
          <cell r="J280">
            <v>9486.59</v>
          </cell>
          <cell r="K280">
            <v>8.8800000000000008</v>
          </cell>
          <cell r="L280">
            <v>10505.48</v>
          </cell>
          <cell r="M280">
            <v>3712.5</v>
          </cell>
          <cell r="N280">
            <v>345980.17</v>
          </cell>
          <cell r="O280">
            <v>1604852.26</v>
          </cell>
          <cell r="P280">
            <v>0.9</v>
          </cell>
          <cell r="Q280">
            <v>1.1039000000000001</v>
          </cell>
          <cell r="S280">
            <v>2868</v>
          </cell>
          <cell r="T280">
            <v>55425974</v>
          </cell>
          <cell r="U280">
            <v>198939.5</v>
          </cell>
          <cell r="X280">
            <v>136</v>
          </cell>
          <cell r="Y280">
            <v>12</v>
          </cell>
          <cell r="Z280">
            <v>12</v>
          </cell>
          <cell r="AA280">
            <v>0</v>
          </cell>
          <cell r="AB280">
            <v>157</v>
          </cell>
          <cell r="AC280">
            <v>35</v>
          </cell>
          <cell r="AD280">
            <v>25</v>
          </cell>
          <cell r="AE280">
            <v>1</v>
          </cell>
          <cell r="AF280">
            <v>13</v>
          </cell>
          <cell r="AG280">
            <v>1</v>
          </cell>
          <cell r="AH280">
            <v>0</v>
          </cell>
          <cell r="AI280">
            <v>1842</v>
          </cell>
          <cell r="AJ280">
            <v>885</v>
          </cell>
          <cell r="AK280">
            <v>539</v>
          </cell>
          <cell r="AL280">
            <v>346</v>
          </cell>
          <cell r="AM280">
            <v>120</v>
          </cell>
        </row>
        <row r="281">
          <cell r="A281">
            <v>274</v>
          </cell>
          <cell r="B281" t="str">
            <v>Taunton Deane</v>
          </cell>
          <cell r="C281" t="str">
            <v>E3333</v>
          </cell>
          <cell r="D281">
            <v>2993888.99</v>
          </cell>
          <cell r="E281">
            <v>43193.9</v>
          </cell>
          <cell r="F281">
            <v>30089.08</v>
          </cell>
          <cell r="G281">
            <v>0</v>
          </cell>
          <cell r="H281">
            <v>441360.05</v>
          </cell>
          <cell r="I281">
            <v>31094.799999999999</v>
          </cell>
          <cell r="J281">
            <v>47872.18</v>
          </cell>
          <cell r="K281">
            <v>0</v>
          </cell>
          <cell r="L281">
            <v>9478.8799999999992</v>
          </cell>
          <cell r="M281">
            <v>9211.85</v>
          </cell>
          <cell r="N281">
            <v>681651.32</v>
          </cell>
          <cell r="O281">
            <v>1805420.34</v>
          </cell>
          <cell r="P281">
            <v>0.9</v>
          </cell>
          <cell r="Q281">
            <v>1</v>
          </cell>
          <cell r="S281">
            <v>3757</v>
          </cell>
          <cell r="T281">
            <v>101419865</v>
          </cell>
          <cell r="U281">
            <v>384359.49</v>
          </cell>
          <cell r="X281">
            <v>252</v>
          </cell>
          <cell r="Y281">
            <v>12</v>
          </cell>
          <cell r="Z281">
            <v>26</v>
          </cell>
          <cell r="AA281">
            <v>0</v>
          </cell>
          <cell r="AB281">
            <v>215</v>
          </cell>
          <cell r="AC281">
            <v>113</v>
          </cell>
          <cell r="AD281">
            <v>21</v>
          </cell>
          <cell r="AE281">
            <v>0</v>
          </cell>
          <cell r="AF281">
            <v>17</v>
          </cell>
          <cell r="AG281">
            <v>5</v>
          </cell>
          <cell r="AH281">
            <v>0</v>
          </cell>
          <cell r="AI281">
            <v>2532</v>
          </cell>
          <cell r="AJ281">
            <v>1078</v>
          </cell>
          <cell r="AK281">
            <v>711</v>
          </cell>
          <cell r="AL281">
            <v>367</v>
          </cell>
          <cell r="AM281">
            <v>101</v>
          </cell>
        </row>
        <row r="282">
          <cell r="A282">
            <v>275</v>
          </cell>
          <cell r="B282" t="str">
            <v>Teignbridge</v>
          </cell>
          <cell r="C282" t="str">
            <v>E1137</v>
          </cell>
          <cell r="D282">
            <v>1789682.93</v>
          </cell>
          <cell r="E282">
            <v>67149.59</v>
          </cell>
          <cell r="F282">
            <v>49202.59</v>
          </cell>
          <cell r="G282">
            <v>0</v>
          </cell>
          <cell r="H282">
            <v>549616.76</v>
          </cell>
          <cell r="I282">
            <v>23206.63</v>
          </cell>
          <cell r="J282">
            <v>38342.94</v>
          </cell>
          <cell r="K282">
            <v>1557.63</v>
          </cell>
          <cell r="L282">
            <v>19180.79</v>
          </cell>
          <cell r="M282">
            <v>9270.92</v>
          </cell>
          <cell r="N282">
            <v>550706.89</v>
          </cell>
          <cell r="O282">
            <v>2883120.02</v>
          </cell>
          <cell r="P282">
            <v>0.9</v>
          </cell>
          <cell r="Q282">
            <v>1</v>
          </cell>
          <cell r="S282">
            <v>4815</v>
          </cell>
          <cell r="T282">
            <v>80849743</v>
          </cell>
          <cell r="U282">
            <v>289406.33</v>
          </cell>
          <cell r="X282">
            <v>296</v>
          </cell>
          <cell r="Y282">
            <v>20</v>
          </cell>
          <cell r="Z282">
            <v>39</v>
          </cell>
          <cell r="AA282">
            <v>4</v>
          </cell>
          <cell r="AB282">
            <v>285</v>
          </cell>
          <cell r="AC282">
            <v>172</v>
          </cell>
          <cell r="AD282">
            <v>20</v>
          </cell>
          <cell r="AE282">
            <v>18</v>
          </cell>
          <cell r="AF282">
            <v>27</v>
          </cell>
          <cell r="AG282">
            <v>8</v>
          </cell>
          <cell r="AH282">
            <v>0</v>
          </cell>
          <cell r="AI282">
            <v>2679</v>
          </cell>
          <cell r="AJ282">
            <v>1966</v>
          </cell>
          <cell r="AK282">
            <v>1422</v>
          </cell>
          <cell r="AL282">
            <v>544</v>
          </cell>
          <cell r="AM282">
            <v>182</v>
          </cell>
        </row>
        <row r="283">
          <cell r="A283">
            <v>276</v>
          </cell>
          <cell r="B283" t="str">
            <v>Telford and the Wrekin</v>
          </cell>
          <cell r="C283" t="str">
            <v>E3201</v>
          </cell>
          <cell r="D283">
            <v>3275049.35</v>
          </cell>
          <cell r="E283">
            <v>32199.58</v>
          </cell>
          <cell r="F283">
            <v>4307.49</v>
          </cell>
          <cell r="G283">
            <v>449215.96</v>
          </cell>
          <cell r="H283">
            <v>1665552.51</v>
          </cell>
          <cell r="I283">
            <v>47506.31</v>
          </cell>
          <cell r="J283">
            <v>23190.55</v>
          </cell>
          <cell r="K283">
            <v>564.49</v>
          </cell>
          <cell r="L283">
            <v>1994.02</v>
          </cell>
          <cell r="M283">
            <v>1717.5</v>
          </cell>
          <cell r="N283">
            <v>1194011.5</v>
          </cell>
          <cell r="O283">
            <v>2087161.09</v>
          </cell>
          <cell r="P283">
            <v>1.3</v>
          </cell>
          <cell r="Q283">
            <v>1</v>
          </cell>
          <cell r="S283">
            <v>4566</v>
          </cell>
          <cell r="T283">
            <v>166672312</v>
          </cell>
          <cell r="U283">
            <v>715341.66</v>
          </cell>
          <cell r="X283">
            <v>239</v>
          </cell>
          <cell r="Y283">
            <v>13</v>
          </cell>
          <cell r="Z283">
            <v>5</v>
          </cell>
          <cell r="AA283">
            <v>7</v>
          </cell>
          <cell r="AB283">
            <v>504</v>
          </cell>
          <cell r="AC283">
            <v>139</v>
          </cell>
          <cell r="AD283">
            <v>8</v>
          </cell>
          <cell r="AE283">
            <v>2</v>
          </cell>
          <cell r="AF283">
            <v>3</v>
          </cell>
          <cell r="AG283">
            <v>1</v>
          </cell>
          <cell r="AH283">
            <v>0</v>
          </cell>
          <cell r="AI283">
            <v>3150</v>
          </cell>
          <cell r="AJ283">
            <v>1248</v>
          </cell>
          <cell r="AK283">
            <v>868</v>
          </cell>
          <cell r="AL283">
            <v>380</v>
          </cell>
          <cell r="AM283">
            <v>188</v>
          </cell>
        </row>
        <row r="284">
          <cell r="A284">
            <v>277</v>
          </cell>
          <cell r="B284" t="str">
            <v>Tendring</v>
          </cell>
          <cell r="C284" t="str">
            <v>E1542</v>
          </cell>
          <cell r="D284">
            <v>1735542.01</v>
          </cell>
          <cell r="E284">
            <v>111477.79</v>
          </cell>
          <cell r="F284">
            <v>40333.56</v>
          </cell>
          <cell r="G284">
            <v>0</v>
          </cell>
          <cell r="H284">
            <v>373338</v>
          </cell>
          <cell r="I284">
            <v>6045.06</v>
          </cell>
          <cell r="J284">
            <v>0</v>
          </cell>
          <cell r="K284">
            <v>0</v>
          </cell>
          <cell r="L284">
            <v>30250.14</v>
          </cell>
          <cell r="M284">
            <v>0</v>
          </cell>
          <cell r="N284">
            <v>415238.75</v>
          </cell>
          <cell r="O284">
            <v>3499294.06</v>
          </cell>
          <cell r="P284">
            <v>0.9</v>
          </cell>
          <cell r="Q284">
            <v>1.0129999999999999</v>
          </cell>
          <cell r="S284">
            <v>7673</v>
          </cell>
          <cell r="T284">
            <v>70780765</v>
          </cell>
          <cell r="U284">
            <v>248318.28</v>
          </cell>
          <cell r="X284">
            <v>241</v>
          </cell>
          <cell r="Y284">
            <v>28</v>
          </cell>
          <cell r="Z284">
            <v>36</v>
          </cell>
          <cell r="AA284">
            <v>0</v>
          </cell>
          <cell r="AB284">
            <v>210</v>
          </cell>
          <cell r="AC284">
            <v>16</v>
          </cell>
          <cell r="AD284">
            <v>0</v>
          </cell>
          <cell r="AE284">
            <v>0</v>
          </cell>
          <cell r="AF284">
            <v>36</v>
          </cell>
          <cell r="AG284">
            <v>0</v>
          </cell>
          <cell r="AH284">
            <v>0</v>
          </cell>
          <cell r="AI284">
            <v>2931</v>
          </cell>
          <cell r="AJ284">
            <v>4627</v>
          </cell>
          <cell r="AK284">
            <v>4102</v>
          </cell>
          <cell r="AL284">
            <v>525</v>
          </cell>
          <cell r="AM284">
            <v>440</v>
          </cell>
        </row>
        <row r="285">
          <cell r="A285">
            <v>278</v>
          </cell>
          <cell r="B285" t="str">
            <v>Test Valley</v>
          </cell>
          <cell r="C285" t="str">
            <v>E1742</v>
          </cell>
          <cell r="D285">
            <v>2431846</v>
          </cell>
          <cell r="E285">
            <v>57827.08</v>
          </cell>
          <cell r="F285">
            <v>25860.959999999999</v>
          </cell>
          <cell r="G285">
            <v>100000</v>
          </cell>
          <cell r="H285">
            <v>1295743.47</v>
          </cell>
          <cell r="I285">
            <v>39517.050000000003</v>
          </cell>
          <cell r="J285">
            <v>18293.87</v>
          </cell>
          <cell r="K285">
            <v>3614.19</v>
          </cell>
          <cell r="L285">
            <v>18502.580000000002</v>
          </cell>
          <cell r="M285">
            <v>27101.93</v>
          </cell>
          <cell r="N285">
            <v>902750.92</v>
          </cell>
          <cell r="O285">
            <v>1781309.77</v>
          </cell>
          <cell r="P285">
            <v>0.9</v>
          </cell>
          <cell r="Q285">
            <v>1.036</v>
          </cell>
          <cell r="S285">
            <v>4003</v>
          </cell>
          <cell r="T285">
            <v>118987347</v>
          </cell>
          <cell r="U285">
            <v>464265.71</v>
          </cell>
          <cell r="X285">
            <v>232</v>
          </cell>
          <cell r="Y285">
            <v>10</v>
          </cell>
          <cell r="Z285">
            <v>23</v>
          </cell>
          <cell r="AA285">
            <v>1</v>
          </cell>
          <cell r="AB285">
            <v>292</v>
          </cell>
          <cell r="AC285">
            <v>136</v>
          </cell>
          <cell r="AD285">
            <v>15</v>
          </cell>
          <cell r="AE285">
            <v>10</v>
          </cell>
          <cell r="AF285">
            <v>22</v>
          </cell>
          <cell r="AG285">
            <v>13</v>
          </cell>
          <cell r="AH285">
            <v>0</v>
          </cell>
          <cell r="AI285">
            <v>2648</v>
          </cell>
          <cell r="AJ285">
            <v>1080</v>
          </cell>
          <cell r="AK285">
            <v>691</v>
          </cell>
          <cell r="AL285">
            <v>389</v>
          </cell>
          <cell r="AM285">
            <v>189</v>
          </cell>
        </row>
        <row r="286">
          <cell r="A286">
            <v>279</v>
          </cell>
          <cell r="B286" t="str">
            <v>Tewkesbury</v>
          </cell>
          <cell r="C286" t="str">
            <v>E1636</v>
          </cell>
          <cell r="D286">
            <v>909585.99</v>
          </cell>
          <cell r="E286">
            <v>30682.42</v>
          </cell>
          <cell r="F286">
            <v>9991.2800000000007</v>
          </cell>
          <cell r="G286">
            <v>0</v>
          </cell>
          <cell r="H286">
            <v>452918</v>
          </cell>
          <cell r="I286">
            <v>9616.6</v>
          </cell>
          <cell r="J286">
            <v>4877.7</v>
          </cell>
          <cell r="K286">
            <v>0</v>
          </cell>
          <cell r="L286">
            <v>3182.52</v>
          </cell>
          <cell r="M286">
            <v>0</v>
          </cell>
          <cell r="N286">
            <v>633221</v>
          </cell>
          <cell r="O286">
            <v>1393237</v>
          </cell>
          <cell r="P286">
            <v>0.9</v>
          </cell>
          <cell r="Q286">
            <v>1.0197000000000001</v>
          </cell>
          <cell r="S286">
            <v>2738</v>
          </cell>
          <cell r="T286">
            <v>83996288</v>
          </cell>
          <cell r="U286">
            <v>338264.37</v>
          </cell>
          <cell r="X286">
            <v>140</v>
          </cell>
          <cell r="Y286">
            <v>12</v>
          </cell>
          <cell r="Z286">
            <v>11</v>
          </cell>
          <cell r="AA286">
            <v>0</v>
          </cell>
          <cell r="AB286">
            <v>224</v>
          </cell>
          <cell r="AC286">
            <v>79</v>
          </cell>
          <cell r="AD286">
            <v>4</v>
          </cell>
          <cell r="AE286">
            <v>0</v>
          </cell>
          <cell r="AF286">
            <v>7</v>
          </cell>
          <cell r="AG286">
            <v>0</v>
          </cell>
          <cell r="AH286">
            <v>0</v>
          </cell>
          <cell r="AI286">
            <v>1912</v>
          </cell>
          <cell r="AJ286">
            <v>867</v>
          </cell>
          <cell r="AK286">
            <v>587</v>
          </cell>
          <cell r="AL286">
            <v>280</v>
          </cell>
          <cell r="AM286">
            <v>81</v>
          </cell>
        </row>
        <row r="287">
          <cell r="A287">
            <v>280</v>
          </cell>
          <cell r="B287" t="str">
            <v>Thanet</v>
          </cell>
          <cell r="C287" t="str">
            <v>E2242</v>
          </cell>
          <cell r="D287">
            <v>2782315.53</v>
          </cell>
          <cell r="E287">
            <v>37003.75</v>
          </cell>
          <cell r="F287">
            <v>7179.15</v>
          </cell>
          <cell r="G287">
            <v>2071.8000000000002</v>
          </cell>
          <cell r="H287">
            <v>790222.44</v>
          </cell>
          <cell r="I287">
            <v>33134.870000000003</v>
          </cell>
          <cell r="J287">
            <v>23506.67</v>
          </cell>
          <cell r="K287">
            <v>0</v>
          </cell>
          <cell r="L287">
            <v>523.84</v>
          </cell>
          <cell r="M287">
            <v>0</v>
          </cell>
          <cell r="N287">
            <v>563575.86</v>
          </cell>
          <cell r="O287">
            <v>2839068.55</v>
          </cell>
          <cell r="P287">
            <v>0.9</v>
          </cell>
          <cell r="Q287">
            <v>1.0067999999999999</v>
          </cell>
          <cell r="S287">
            <v>4673</v>
          </cell>
          <cell r="T287">
            <v>88262195</v>
          </cell>
          <cell r="U287">
            <v>310663.90999999997</v>
          </cell>
          <cell r="X287">
            <v>267</v>
          </cell>
          <cell r="Y287">
            <v>13</v>
          </cell>
          <cell r="Z287">
            <v>6</v>
          </cell>
          <cell r="AA287">
            <v>1</v>
          </cell>
          <cell r="AB287">
            <v>346</v>
          </cell>
          <cell r="AC287">
            <v>86</v>
          </cell>
          <cell r="AD287">
            <v>11</v>
          </cell>
          <cell r="AE287">
            <v>0</v>
          </cell>
          <cell r="AF287">
            <v>1</v>
          </cell>
          <cell r="AG287">
            <v>0</v>
          </cell>
          <cell r="AH287">
            <v>0</v>
          </cell>
          <cell r="AI287">
            <v>2871</v>
          </cell>
          <cell r="AJ287">
            <v>1705</v>
          </cell>
          <cell r="AK287">
            <v>1276</v>
          </cell>
          <cell r="AL287">
            <v>429</v>
          </cell>
          <cell r="AM287">
            <v>75</v>
          </cell>
        </row>
        <row r="288">
          <cell r="A288">
            <v>281</v>
          </cell>
          <cell r="B288" t="str">
            <v>Three Rivers</v>
          </cell>
          <cell r="C288" t="str">
            <v>E1938</v>
          </cell>
          <cell r="D288">
            <v>1951503</v>
          </cell>
          <cell r="E288">
            <v>24836</v>
          </cell>
          <cell r="F288">
            <v>2776</v>
          </cell>
          <cell r="G288">
            <v>40000</v>
          </cell>
          <cell r="H288">
            <v>1144902</v>
          </cell>
          <cell r="I288">
            <v>43610</v>
          </cell>
          <cell r="J288">
            <v>97181</v>
          </cell>
          <cell r="K288">
            <v>1374</v>
          </cell>
          <cell r="L288">
            <v>2081</v>
          </cell>
          <cell r="M288">
            <v>665</v>
          </cell>
          <cell r="N288">
            <v>374433</v>
          </cell>
          <cell r="O288">
            <v>692318</v>
          </cell>
          <cell r="P288">
            <v>0.9</v>
          </cell>
          <cell r="Q288">
            <v>1.0815999999999999</v>
          </cell>
          <cell r="S288">
            <v>1896</v>
          </cell>
          <cell r="T288">
            <v>68132340</v>
          </cell>
          <cell r="U288">
            <v>248851.46</v>
          </cell>
          <cell r="X288">
            <v>120</v>
          </cell>
          <cell r="Y288">
            <v>5</v>
          </cell>
          <cell r="Z288">
            <v>2</v>
          </cell>
          <cell r="AA288">
            <v>2</v>
          </cell>
          <cell r="AB288">
            <v>174</v>
          </cell>
          <cell r="AC288">
            <v>63</v>
          </cell>
          <cell r="AD288">
            <v>2</v>
          </cell>
          <cell r="AE288">
            <v>4</v>
          </cell>
          <cell r="AF288">
            <v>3</v>
          </cell>
          <cell r="AG288">
            <v>0</v>
          </cell>
          <cell r="AH288">
            <v>0</v>
          </cell>
          <cell r="AI288">
            <v>1338</v>
          </cell>
          <cell r="AJ288">
            <v>535</v>
          </cell>
          <cell r="AK288">
            <v>168</v>
          </cell>
          <cell r="AL288">
            <v>367</v>
          </cell>
          <cell r="AM288">
            <v>20</v>
          </cell>
        </row>
        <row r="289">
          <cell r="A289">
            <v>282</v>
          </cell>
          <cell r="B289" t="str">
            <v>Thurrock</v>
          </cell>
          <cell r="C289" t="str">
            <v>E1502</v>
          </cell>
          <cell r="D289">
            <v>2214000</v>
          </cell>
          <cell r="E289">
            <v>32000</v>
          </cell>
          <cell r="F289">
            <v>1600</v>
          </cell>
          <cell r="G289">
            <v>329000</v>
          </cell>
          <cell r="H289">
            <v>5381000</v>
          </cell>
          <cell r="I289">
            <v>9000</v>
          </cell>
          <cell r="J289">
            <v>23000</v>
          </cell>
          <cell r="K289">
            <v>200</v>
          </cell>
          <cell r="L289">
            <v>0</v>
          </cell>
          <cell r="M289">
            <v>0</v>
          </cell>
          <cell r="N289">
            <v>1940000</v>
          </cell>
          <cell r="O289">
            <v>1382000</v>
          </cell>
          <cell r="P289">
            <v>1.3</v>
          </cell>
          <cell r="Q289">
            <v>1.0618000000000001</v>
          </cell>
          <cell r="S289">
            <v>3647</v>
          </cell>
          <cell r="T289">
            <v>253853487</v>
          </cell>
          <cell r="U289">
            <v>1109007.7</v>
          </cell>
          <cell r="X289">
            <v>133</v>
          </cell>
          <cell r="Y289">
            <v>7</v>
          </cell>
          <cell r="Z289">
            <v>1</v>
          </cell>
          <cell r="AA289">
            <v>0</v>
          </cell>
          <cell r="AB289">
            <v>456</v>
          </cell>
          <cell r="AC289">
            <v>93</v>
          </cell>
          <cell r="AD289">
            <v>16</v>
          </cell>
          <cell r="AE289">
            <v>6</v>
          </cell>
          <cell r="AF289">
            <v>0</v>
          </cell>
          <cell r="AG289">
            <v>0</v>
          </cell>
          <cell r="AH289">
            <v>0</v>
          </cell>
          <cell r="AI289">
            <v>1774</v>
          </cell>
          <cell r="AJ289">
            <v>756</v>
          </cell>
          <cell r="AK289">
            <v>449</v>
          </cell>
          <cell r="AL289">
            <v>307</v>
          </cell>
          <cell r="AM289">
            <v>1122</v>
          </cell>
        </row>
        <row r="290">
          <cell r="A290">
            <v>283</v>
          </cell>
          <cell r="B290" t="str">
            <v>Tonbridge and Malling</v>
          </cell>
          <cell r="C290" t="str">
            <v>E2243</v>
          </cell>
          <cell r="D290">
            <v>3663067.68</v>
          </cell>
          <cell r="E290">
            <v>77574.240000000005</v>
          </cell>
          <cell r="F290">
            <v>10740.1</v>
          </cell>
          <cell r="G290">
            <v>0</v>
          </cell>
          <cell r="H290">
            <v>2386817.34</v>
          </cell>
          <cell r="I290">
            <v>12043.19</v>
          </cell>
          <cell r="J290">
            <v>0</v>
          </cell>
          <cell r="K290">
            <v>3280.89</v>
          </cell>
          <cell r="L290">
            <v>2055.85</v>
          </cell>
          <cell r="M290">
            <v>12846.6</v>
          </cell>
          <cell r="N290">
            <v>990843.76</v>
          </cell>
          <cell r="O290">
            <v>1217021.04</v>
          </cell>
          <cell r="P290">
            <v>0.9</v>
          </cell>
          <cell r="Q290">
            <v>1.0067999999999999</v>
          </cell>
          <cell r="S290">
            <v>3532</v>
          </cell>
          <cell r="T290">
            <v>136129230</v>
          </cell>
          <cell r="U290">
            <v>517098.39</v>
          </cell>
          <cell r="X290">
            <v>191</v>
          </cell>
          <cell r="Y290">
            <v>22</v>
          </cell>
          <cell r="Z290">
            <v>8</v>
          </cell>
          <cell r="AA290">
            <v>0</v>
          </cell>
          <cell r="AB290">
            <v>373</v>
          </cell>
          <cell r="AC290">
            <v>57</v>
          </cell>
          <cell r="AD290">
            <v>2</v>
          </cell>
          <cell r="AE290">
            <v>22</v>
          </cell>
          <cell r="AF290">
            <v>6</v>
          </cell>
          <cell r="AG290">
            <v>11</v>
          </cell>
          <cell r="AH290">
            <v>0</v>
          </cell>
          <cell r="AI290">
            <v>2725</v>
          </cell>
          <cell r="AJ290">
            <v>699</v>
          </cell>
          <cell r="AK290">
            <v>418</v>
          </cell>
          <cell r="AL290">
            <v>281</v>
          </cell>
          <cell r="AM290">
            <v>93</v>
          </cell>
        </row>
        <row r="291">
          <cell r="A291">
            <v>284</v>
          </cell>
          <cell r="B291" t="str">
            <v>Torbay</v>
          </cell>
          <cell r="C291" t="str">
            <v>E1102</v>
          </cell>
          <cell r="D291">
            <v>2404924.64</v>
          </cell>
          <cell r="E291">
            <v>142144.79999999999</v>
          </cell>
          <cell r="F291">
            <v>0</v>
          </cell>
          <cell r="G291">
            <v>1788.75</v>
          </cell>
          <cell r="H291">
            <v>950126.43</v>
          </cell>
          <cell r="I291">
            <v>16594.37</v>
          </cell>
          <cell r="J291">
            <v>217607.6</v>
          </cell>
          <cell r="K291">
            <v>1161.83</v>
          </cell>
          <cell r="L291">
            <v>0</v>
          </cell>
          <cell r="M291">
            <v>0</v>
          </cell>
          <cell r="N291">
            <v>619843.57999999996</v>
          </cell>
          <cell r="O291">
            <v>3390015.21</v>
          </cell>
          <cell r="P291">
            <v>1.3</v>
          </cell>
          <cell r="Q291">
            <v>1</v>
          </cell>
          <cell r="S291">
            <v>5038</v>
          </cell>
          <cell r="T291">
            <v>99690024</v>
          </cell>
          <cell r="U291">
            <v>397962.3</v>
          </cell>
          <cell r="X291">
            <v>232</v>
          </cell>
          <cell r="Y291">
            <v>27</v>
          </cell>
          <cell r="Z291">
            <v>0</v>
          </cell>
          <cell r="AA291">
            <v>2</v>
          </cell>
          <cell r="AB291">
            <v>334</v>
          </cell>
          <cell r="AC291">
            <v>87</v>
          </cell>
          <cell r="AD291">
            <v>31</v>
          </cell>
          <cell r="AE291">
            <v>3</v>
          </cell>
          <cell r="AF291">
            <v>0</v>
          </cell>
          <cell r="AG291">
            <v>0</v>
          </cell>
          <cell r="AH291">
            <v>0</v>
          </cell>
          <cell r="AI291">
            <v>2884</v>
          </cell>
          <cell r="AJ291">
            <v>1954</v>
          </cell>
          <cell r="AK291">
            <v>1269</v>
          </cell>
          <cell r="AL291">
            <v>685</v>
          </cell>
          <cell r="AM291">
            <v>180</v>
          </cell>
        </row>
        <row r="292">
          <cell r="A292">
            <v>285</v>
          </cell>
          <cell r="B292" t="str">
            <v>Torridge</v>
          </cell>
          <cell r="C292" t="str">
            <v>E1139</v>
          </cell>
          <cell r="D292">
            <v>763319.93</v>
          </cell>
          <cell r="E292">
            <v>30905.84</v>
          </cell>
          <cell r="F292">
            <v>58382.92</v>
          </cell>
          <cell r="G292">
            <v>0</v>
          </cell>
          <cell r="H292">
            <v>247091.14</v>
          </cell>
          <cell r="I292">
            <v>18598.7</v>
          </cell>
          <cell r="J292">
            <v>23685.74</v>
          </cell>
          <cell r="K292">
            <v>1748.99</v>
          </cell>
          <cell r="L292">
            <v>9463.43</v>
          </cell>
          <cell r="M292">
            <v>0</v>
          </cell>
          <cell r="N292">
            <v>158000.82</v>
          </cell>
          <cell r="O292">
            <v>2109454.7400000002</v>
          </cell>
          <cell r="P292">
            <v>0.9</v>
          </cell>
          <cell r="Q292">
            <v>1</v>
          </cell>
          <cell r="S292">
            <v>3221</v>
          </cell>
          <cell r="T292">
            <v>31248987</v>
          </cell>
          <cell r="U292">
            <v>98520.22</v>
          </cell>
          <cell r="X292">
            <v>184</v>
          </cell>
          <cell r="Y292">
            <v>10</v>
          </cell>
          <cell r="Z292">
            <v>46</v>
          </cell>
          <cell r="AA292">
            <v>1</v>
          </cell>
          <cell r="AB292">
            <v>201</v>
          </cell>
          <cell r="AC292">
            <v>118</v>
          </cell>
          <cell r="AD292">
            <v>12</v>
          </cell>
          <cell r="AE292">
            <v>10</v>
          </cell>
          <cell r="AF292">
            <v>19</v>
          </cell>
          <cell r="AG292">
            <v>1</v>
          </cell>
          <cell r="AH292">
            <v>0</v>
          </cell>
          <cell r="AI292">
            <v>714</v>
          </cell>
          <cell r="AJ292">
            <v>1636</v>
          </cell>
          <cell r="AK292">
            <v>1337</v>
          </cell>
          <cell r="AL292">
            <v>299</v>
          </cell>
          <cell r="AM292">
            <v>773</v>
          </cell>
        </row>
        <row r="293">
          <cell r="A293">
            <v>286</v>
          </cell>
          <cell r="B293" t="str">
            <v>Tower Hamlets</v>
          </cell>
          <cell r="C293" t="str">
            <v>E5020</v>
          </cell>
          <cell r="D293">
            <v>14285541.42</v>
          </cell>
          <cell r="E293">
            <v>0</v>
          </cell>
          <cell r="F293">
            <v>0</v>
          </cell>
          <cell r="G293">
            <v>1000000</v>
          </cell>
          <cell r="H293">
            <v>6686547</v>
          </cell>
          <cell r="I293">
            <v>199258.17750000002</v>
          </cell>
          <cell r="J293">
            <v>233002.26750000002</v>
          </cell>
          <cell r="K293">
            <v>0</v>
          </cell>
          <cell r="L293">
            <v>0</v>
          </cell>
          <cell r="M293">
            <v>0</v>
          </cell>
          <cell r="N293">
            <v>5936564.8300000001</v>
          </cell>
          <cell r="O293">
            <v>4237354.76</v>
          </cell>
          <cell r="P293">
            <v>1.1000000000000001</v>
          </cell>
          <cell r="Q293">
            <v>1.2208000000000001</v>
          </cell>
          <cell r="S293">
            <v>14622</v>
          </cell>
          <cell r="T293">
            <v>814931906</v>
          </cell>
          <cell r="U293">
            <v>4192329.13</v>
          </cell>
          <cell r="X293">
            <v>575</v>
          </cell>
          <cell r="Y293">
            <v>0</v>
          </cell>
          <cell r="Z293">
            <v>0</v>
          </cell>
          <cell r="AA293">
            <v>0</v>
          </cell>
          <cell r="AB293">
            <v>1864</v>
          </cell>
          <cell r="AC293">
            <v>254</v>
          </cell>
          <cell r="AD293">
            <v>59</v>
          </cell>
          <cell r="AE293">
            <v>0</v>
          </cell>
          <cell r="AF293">
            <v>0</v>
          </cell>
          <cell r="AG293">
            <v>0</v>
          </cell>
          <cell r="AH293">
            <v>0</v>
          </cell>
          <cell r="AI293">
            <v>5946</v>
          </cell>
          <cell r="AJ293">
            <v>2510</v>
          </cell>
          <cell r="AK293">
            <v>1274</v>
          </cell>
          <cell r="AL293">
            <v>1236</v>
          </cell>
          <cell r="AM293">
            <v>5969</v>
          </cell>
        </row>
        <row r="294">
          <cell r="A294">
            <v>287</v>
          </cell>
          <cell r="B294" t="str">
            <v>Trafford</v>
          </cell>
          <cell r="C294" t="str">
            <v>E4209</v>
          </cell>
          <cell r="D294">
            <v>4247515.63</v>
          </cell>
          <cell r="E294">
            <v>57708</v>
          </cell>
          <cell r="F294">
            <v>469.45</v>
          </cell>
          <cell r="G294">
            <v>0</v>
          </cell>
          <cell r="H294">
            <v>6994694.2400000002</v>
          </cell>
          <cell r="I294">
            <v>31599.94</v>
          </cell>
          <cell r="J294">
            <v>212713.1</v>
          </cell>
          <cell r="K294">
            <v>0</v>
          </cell>
          <cell r="L294">
            <v>352.09</v>
          </cell>
          <cell r="M294">
            <v>0</v>
          </cell>
          <cell r="N294">
            <v>2871511.14</v>
          </cell>
          <cell r="O294">
            <v>3218893.64</v>
          </cell>
          <cell r="P294">
            <v>1.7</v>
          </cell>
          <cell r="Q294">
            <v>1.0168999999999999</v>
          </cell>
          <cell r="S294">
            <v>9185</v>
          </cell>
          <cell r="T294">
            <v>386462659</v>
          </cell>
          <cell r="U294">
            <v>2157581.7799999998</v>
          </cell>
          <cell r="X294">
            <v>277</v>
          </cell>
          <cell r="Y294">
            <v>9</v>
          </cell>
          <cell r="Z294">
            <v>1</v>
          </cell>
          <cell r="AA294">
            <v>0</v>
          </cell>
          <cell r="AB294">
            <v>1485</v>
          </cell>
          <cell r="AC294">
            <v>59</v>
          </cell>
          <cell r="AD294">
            <v>42</v>
          </cell>
          <cell r="AE294">
            <v>0</v>
          </cell>
          <cell r="AF294">
            <v>1</v>
          </cell>
          <cell r="AG294">
            <v>0</v>
          </cell>
          <cell r="AH294">
            <v>0</v>
          </cell>
          <cell r="AI294">
            <v>4581</v>
          </cell>
          <cell r="AJ294">
            <v>1691</v>
          </cell>
          <cell r="AK294">
            <v>814</v>
          </cell>
          <cell r="AL294">
            <v>877</v>
          </cell>
          <cell r="AM294">
            <v>2879</v>
          </cell>
        </row>
        <row r="295">
          <cell r="A295">
            <v>288</v>
          </cell>
          <cell r="B295" t="str">
            <v>Tunbridge Wells</v>
          </cell>
          <cell r="C295" t="str">
            <v>E2244</v>
          </cell>
          <cell r="D295">
            <v>3591465.7</v>
          </cell>
          <cell r="E295">
            <v>19642.77</v>
          </cell>
          <cell r="F295">
            <v>13551.07</v>
          </cell>
          <cell r="G295">
            <v>0</v>
          </cell>
          <cell r="H295">
            <v>1659197.08</v>
          </cell>
          <cell r="I295">
            <v>6534.07</v>
          </cell>
          <cell r="J295">
            <v>33225.230000000003</v>
          </cell>
          <cell r="K295">
            <v>227.29</v>
          </cell>
          <cell r="L295">
            <v>5096.68</v>
          </cell>
          <cell r="M295">
            <v>22928.63</v>
          </cell>
          <cell r="N295">
            <v>780676.34</v>
          </cell>
          <cell r="O295">
            <v>1709030.21</v>
          </cell>
          <cell r="P295">
            <v>0.9</v>
          </cell>
          <cell r="Q295">
            <v>1.0067999999999999</v>
          </cell>
          <cell r="S295">
            <v>3975</v>
          </cell>
          <cell r="T295">
            <v>130051957</v>
          </cell>
          <cell r="U295">
            <v>475020.94</v>
          </cell>
          <cell r="X295">
            <v>234</v>
          </cell>
          <cell r="Y295">
            <v>5</v>
          </cell>
          <cell r="Z295">
            <v>14</v>
          </cell>
          <cell r="AA295">
            <v>0</v>
          </cell>
          <cell r="AB295">
            <v>456</v>
          </cell>
          <cell r="AC295">
            <v>52</v>
          </cell>
          <cell r="AD295">
            <v>18</v>
          </cell>
          <cell r="AE295">
            <v>6</v>
          </cell>
          <cell r="AF295">
            <v>7</v>
          </cell>
          <cell r="AG295">
            <v>7</v>
          </cell>
          <cell r="AH295">
            <v>0</v>
          </cell>
          <cell r="AI295">
            <v>2924</v>
          </cell>
          <cell r="AJ295">
            <v>935</v>
          </cell>
          <cell r="AK295">
            <v>490</v>
          </cell>
          <cell r="AL295">
            <v>445</v>
          </cell>
          <cell r="AM295">
            <v>125</v>
          </cell>
        </row>
        <row r="296">
          <cell r="A296">
            <v>289</v>
          </cell>
          <cell r="B296" t="str">
            <v>Uttlesford</v>
          </cell>
          <cell r="C296" t="str">
            <v>E1544</v>
          </cell>
          <cell r="D296">
            <v>1466640.62</v>
          </cell>
          <cell r="E296">
            <v>49810.01</v>
          </cell>
          <cell r="F296">
            <v>48181.09</v>
          </cell>
          <cell r="G296">
            <v>0</v>
          </cell>
          <cell r="H296">
            <v>1361299.73</v>
          </cell>
          <cell r="I296">
            <v>8411.66</v>
          </cell>
          <cell r="J296">
            <v>59161.32</v>
          </cell>
          <cell r="K296">
            <v>38.93</v>
          </cell>
          <cell r="L296">
            <v>26914.04</v>
          </cell>
          <cell r="M296">
            <v>48611.83</v>
          </cell>
          <cell r="N296">
            <v>761115.09</v>
          </cell>
          <cell r="O296">
            <v>1357401.44</v>
          </cell>
          <cell r="P296">
            <v>0.9</v>
          </cell>
          <cell r="Q296">
            <v>1.0129999999999999</v>
          </cell>
          <cell r="S296">
            <v>2990</v>
          </cell>
          <cell r="T296">
            <v>100610476</v>
          </cell>
          <cell r="U296">
            <v>390295.03</v>
          </cell>
          <cell r="X296">
            <v>158</v>
          </cell>
          <cell r="Y296">
            <v>6</v>
          </cell>
          <cell r="Z296">
            <v>32</v>
          </cell>
          <cell r="AA296">
            <v>0</v>
          </cell>
          <cell r="AB296">
            <v>454</v>
          </cell>
          <cell r="AC296">
            <v>77</v>
          </cell>
          <cell r="AD296">
            <v>70</v>
          </cell>
          <cell r="AE296">
            <v>1</v>
          </cell>
          <cell r="AF296">
            <v>25</v>
          </cell>
          <cell r="AG296">
            <v>12</v>
          </cell>
          <cell r="AH296">
            <v>0</v>
          </cell>
          <cell r="AI296">
            <v>1312</v>
          </cell>
          <cell r="AJ296">
            <v>762</v>
          </cell>
          <cell r="AK296">
            <v>430</v>
          </cell>
          <cell r="AL296">
            <v>332</v>
          </cell>
          <cell r="AM296">
            <v>906</v>
          </cell>
        </row>
        <row r="297">
          <cell r="A297">
            <v>290</v>
          </cell>
          <cell r="B297" t="str">
            <v>Vale of White Horse</v>
          </cell>
          <cell r="C297" t="str">
            <v>E3134</v>
          </cell>
          <cell r="D297">
            <v>4889372.47</v>
          </cell>
          <cell r="E297">
            <v>52505.120000000003</v>
          </cell>
          <cell r="F297">
            <v>33865.65</v>
          </cell>
          <cell r="G297">
            <v>0</v>
          </cell>
          <cell r="H297">
            <v>2428804.12</v>
          </cell>
          <cell r="I297">
            <v>38201.550000000003</v>
          </cell>
          <cell r="J297">
            <v>6461.86</v>
          </cell>
          <cell r="K297">
            <v>820.38</v>
          </cell>
          <cell r="L297">
            <v>10158.15</v>
          </cell>
          <cell r="M297">
            <v>1231.8800000000001</v>
          </cell>
          <cell r="N297">
            <v>1102485.42</v>
          </cell>
          <cell r="O297">
            <v>1357488.37</v>
          </cell>
          <cell r="P297">
            <v>0.9</v>
          </cell>
          <cell r="Q297">
            <v>1.0533999999999999</v>
          </cell>
          <cell r="S297">
            <v>3764</v>
          </cell>
          <cell r="T297">
            <v>151084695</v>
          </cell>
          <cell r="U297">
            <v>552486.24</v>
          </cell>
          <cell r="X297">
            <v>243</v>
          </cell>
          <cell r="Y297">
            <v>29</v>
          </cell>
          <cell r="Z297">
            <v>34</v>
          </cell>
          <cell r="AA297">
            <v>0</v>
          </cell>
          <cell r="AB297">
            <v>524</v>
          </cell>
          <cell r="AC297">
            <v>120</v>
          </cell>
          <cell r="AD297">
            <v>7</v>
          </cell>
          <cell r="AE297">
            <v>29</v>
          </cell>
          <cell r="AF297">
            <v>17</v>
          </cell>
          <cell r="AG297">
            <v>1</v>
          </cell>
          <cell r="AH297">
            <v>0</v>
          </cell>
          <cell r="AI297">
            <v>2906</v>
          </cell>
          <cell r="AJ297">
            <v>756</v>
          </cell>
          <cell r="AK297">
            <v>442</v>
          </cell>
          <cell r="AL297">
            <v>314</v>
          </cell>
          <cell r="AM297">
            <v>69</v>
          </cell>
        </row>
        <row r="298">
          <cell r="A298">
            <v>291</v>
          </cell>
          <cell r="B298" t="str">
            <v>Wakefield</v>
          </cell>
          <cell r="C298" t="str">
            <v>E4705</v>
          </cell>
          <cell r="D298">
            <v>4985571.9000000004</v>
          </cell>
          <cell r="E298">
            <v>61803.4</v>
          </cell>
          <cell r="F298">
            <v>7747</v>
          </cell>
          <cell r="G298">
            <v>678267.18</v>
          </cell>
          <cell r="H298">
            <v>2618798.5699999998</v>
          </cell>
          <cell r="I298">
            <v>141272.25</v>
          </cell>
          <cell r="J298">
            <v>224308.88</v>
          </cell>
          <cell r="K298">
            <v>2351.31</v>
          </cell>
          <cell r="L298">
            <v>0</v>
          </cell>
          <cell r="M298">
            <v>0</v>
          </cell>
          <cell r="N298">
            <v>2175722.7999999998</v>
          </cell>
          <cell r="O298">
            <v>5832093.6399999997</v>
          </cell>
          <cell r="P298">
            <v>1.7</v>
          </cell>
          <cell r="Q298">
            <v>1.0055000000000001</v>
          </cell>
          <cell r="S298">
            <v>10243</v>
          </cell>
          <cell r="T298">
            <v>308016276</v>
          </cell>
          <cell r="U298">
            <v>1679316.09</v>
          </cell>
          <cell r="X298">
            <v>331</v>
          </cell>
          <cell r="Y298">
            <v>6</v>
          </cell>
          <cell r="Z298">
            <v>15</v>
          </cell>
          <cell r="AA298">
            <v>12</v>
          </cell>
          <cell r="AB298">
            <v>691</v>
          </cell>
          <cell r="AC298">
            <v>89</v>
          </cell>
          <cell r="AD298">
            <v>250</v>
          </cell>
          <cell r="AE298">
            <v>5</v>
          </cell>
          <cell r="AF298">
            <v>0</v>
          </cell>
          <cell r="AG298">
            <v>0</v>
          </cell>
          <cell r="AH298">
            <v>0</v>
          </cell>
          <cell r="AI298">
            <v>6381</v>
          </cell>
          <cell r="AJ298">
            <v>3529</v>
          </cell>
          <cell r="AK298">
            <v>2499</v>
          </cell>
          <cell r="AL298">
            <v>1030</v>
          </cell>
          <cell r="AM298">
            <v>267</v>
          </cell>
        </row>
        <row r="299">
          <cell r="A299">
            <v>292</v>
          </cell>
          <cell r="B299" t="str">
            <v>Walsall</v>
          </cell>
          <cell r="C299" t="str">
            <v>E4606</v>
          </cell>
          <cell r="D299">
            <v>3802321.18</v>
          </cell>
          <cell r="E299">
            <v>16744.48</v>
          </cell>
          <cell r="F299">
            <v>0</v>
          </cell>
          <cell r="G299">
            <v>188539.89</v>
          </cell>
          <cell r="H299">
            <v>3001872.41</v>
          </cell>
          <cell r="I299">
            <v>38468.58</v>
          </cell>
          <cell r="J299">
            <v>59863.03</v>
          </cell>
          <cell r="K299">
            <v>749.98</v>
          </cell>
          <cell r="L299">
            <v>0</v>
          </cell>
          <cell r="M299">
            <v>0</v>
          </cell>
          <cell r="N299">
            <v>1204897.54</v>
          </cell>
          <cell r="O299">
            <v>4292575.37</v>
          </cell>
          <cell r="P299">
            <v>1.7</v>
          </cell>
          <cell r="Q299">
            <v>1.0134000000000001</v>
          </cell>
          <cell r="S299">
            <v>8112</v>
          </cell>
          <cell r="T299">
            <v>180163562</v>
          </cell>
          <cell r="U299">
            <v>942226.23</v>
          </cell>
          <cell r="X299">
            <v>376</v>
          </cell>
          <cell r="Y299">
            <v>6</v>
          </cell>
          <cell r="Z299">
            <v>0</v>
          </cell>
          <cell r="AA299">
            <v>0</v>
          </cell>
          <cell r="AB299">
            <v>819</v>
          </cell>
          <cell r="AC299">
            <v>165</v>
          </cell>
          <cell r="AD299">
            <v>50</v>
          </cell>
          <cell r="AE299">
            <v>4</v>
          </cell>
          <cell r="AF299">
            <v>0</v>
          </cell>
          <cell r="AG299">
            <v>0</v>
          </cell>
          <cell r="AH299">
            <v>0</v>
          </cell>
          <cell r="AI299">
            <v>5447</v>
          </cell>
          <cell r="AJ299">
            <v>2479</v>
          </cell>
          <cell r="AK299">
            <v>1684</v>
          </cell>
          <cell r="AL299">
            <v>795</v>
          </cell>
          <cell r="AM299">
            <v>140</v>
          </cell>
        </row>
        <row r="300">
          <cell r="A300">
            <v>293</v>
          </cell>
          <cell r="B300" t="str">
            <v>Waltham Forest</v>
          </cell>
          <cell r="C300" t="str">
            <v>E5049</v>
          </cell>
          <cell r="D300">
            <v>3254288.81</v>
          </cell>
          <cell r="E300">
            <v>40728.92</v>
          </cell>
          <cell r="F300">
            <v>0</v>
          </cell>
          <cell r="G300">
            <v>33342.199999999997</v>
          </cell>
          <cell r="H300">
            <v>1892282.31</v>
          </cell>
          <cell r="I300">
            <v>33590.449999999997</v>
          </cell>
          <cell r="J300">
            <v>50144.03</v>
          </cell>
          <cell r="K300">
            <v>828.31</v>
          </cell>
          <cell r="L300">
            <v>0</v>
          </cell>
          <cell r="M300">
            <v>0</v>
          </cell>
          <cell r="N300">
            <v>893204.51</v>
          </cell>
          <cell r="O300">
            <v>3935570.32</v>
          </cell>
          <cell r="P300">
            <v>1.5</v>
          </cell>
          <cell r="Q300">
            <v>1.0760000000000001</v>
          </cell>
          <cell r="S300">
            <v>6458</v>
          </cell>
          <cell r="T300">
            <v>147711703</v>
          </cell>
          <cell r="U300">
            <v>811391.68</v>
          </cell>
          <cell r="X300">
            <v>298</v>
          </cell>
          <cell r="Y300">
            <v>10</v>
          </cell>
          <cell r="Z300">
            <v>0</v>
          </cell>
          <cell r="AA300">
            <v>0</v>
          </cell>
          <cell r="AB300">
            <v>281</v>
          </cell>
          <cell r="AC300">
            <v>49</v>
          </cell>
          <cell r="AD300">
            <v>10</v>
          </cell>
          <cell r="AE300">
            <v>7</v>
          </cell>
          <cell r="AF300">
            <v>0</v>
          </cell>
          <cell r="AG300">
            <v>0</v>
          </cell>
          <cell r="AH300">
            <v>0</v>
          </cell>
          <cell r="AI300">
            <v>3760</v>
          </cell>
          <cell r="AJ300">
            <v>2190</v>
          </cell>
          <cell r="AK300">
            <v>897</v>
          </cell>
          <cell r="AL300">
            <v>1293</v>
          </cell>
          <cell r="AM300">
            <v>449</v>
          </cell>
        </row>
        <row r="301">
          <cell r="A301">
            <v>294</v>
          </cell>
          <cell r="B301" t="str">
            <v>Wandsworth</v>
          </cell>
          <cell r="C301" t="str">
            <v>E5021</v>
          </cell>
          <cell r="D301">
            <v>7222114.46</v>
          </cell>
          <cell r="E301">
            <v>22086</v>
          </cell>
          <cell r="F301">
            <v>0</v>
          </cell>
          <cell r="G301">
            <v>10000</v>
          </cell>
          <cell r="H301">
            <v>4682192.95</v>
          </cell>
          <cell r="I301">
            <v>18171.650000000001</v>
          </cell>
          <cell r="J301">
            <v>476635.21</v>
          </cell>
          <cell r="K301">
            <v>888.21</v>
          </cell>
          <cell r="L301">
            <v>0</v>
          </cell>
          <cell r="M301">
            <v>0</v>
          </cell>
          <cell r="N301">
            <v>1702731.84</v>
          </cell>
          <cell r="O301">
            <v>3012927.23</v>
          </cell>
          <cell r="P301">
            <v>1.1000000000000001</v>
          </cell>
          <cell r="Q301">
            <v>1.2208000000000001</v>
          </cell>
          <cell r="S301">
            <v>8997</v>
          </cell>
          <cell r="T301">
            <v>260771399</v>
          </cell>
          <cell r="U301">
            <v>1290000.44</v>
          </cell>
          <cell r="X301">
            <v>360</v>
          </cell>
          <cell r="Y301">
            <v>7</v>
          </cell>
          <cell r="Z301">
            <v>0</v>
          </cell>
          <cell r="AA301">
            <v>0</v>
          </cell>
          <cell r="AB301">
            <v>1294</v>
          </cell>
          <cell r="AC301">
            <v>87</v>
          </cell>
          <cell r="AD301">
            <v>11</v>
          </cell>
          <cell r="AE301">
            <v>3</v>
          </cell>
          <cell r="AF301">
            <v>0</v>
          </cell>
          <cell r="AG301">
            <v>0</v>
          </cell>
          <cell r="AH301">
            <v>0</v>
          </cell>
          <cell r="AI301">
            <v>6710</v>
          </cell>
          <cell r="AJ301">
            <v>1726</v>
          </cell>
          <cell r="AK301">
            <v>725</v>
          </cell>
          <cell r="AL301">
            <v>1001</v>
          </cell>
          <cell r="AM301">
            <v>621</v>
          </cell>
        </row>
        <row r="302">
          <cell r="A302">
            <v>295</v>
          </cell>
          <cell r="B302" t="str">
            <v>Warrington</v>
          </cell>
          <cell r="C302" t="str">
            <v>E0602</v>
          </cell>
          <cell r="D302">
            <v>2141760.6</v>
          </cell>
          <cell r="E302">
            <v>45287.040000000001</v>
          </cell>
          <cell r="F302">
            <v>1688.87</v>
          </cell>
          <cell r="G302">
            <v>0</v>
          </cell>
          <cell r="H302">
            <v>2084409.95</v>
          </cell>
          <cell r="I302">
            <v>27363.78</v>
          </cell>
          <cell r="J302">
            <v>323492.87</v>
          </cell>
          <cell r="K302">
            <v>1213.7</v>
          </cell>
          <cell r="L302">
            <v>633.33000000000004</v>
          </cell>
          <cell r="M302">
            <v>2480.63</v>
          </cell>
          <cell r="N302">
            <v>1887124.87</v>
          </cell>
          <cell r="O302">
            <v>2161629.1</v>
          </cell>
          <cell r="P302">
            <v>1.3</v>
          </cell>
          <cell r="Q302">
            <v>1.0129999999999999</v>
          </cell>
          <cell r="S302">
            <v>6386</v>
          </cell>
          <cell r="T302">
            <v>253607487</v>
          </cell>
          <cell r="U302">
            <v>1142988.77</v>
          </cell>
          <cell r="X302">
            <v>201</v>
          </cell>
          <cell r="Y302">
            <v>5</v>
          </cell>
          <cell r="Z302">
            <v>3</v>
          </cell>
          <cell r="AA302">
            <v>0</v>
          </cell>
          <cell r="AB302">
            <v>1022</v>
          </cell>
          <cell r="AC302">
            <v>122</v>
          </cell>
          <cell r="AD302">
            <v>54</v>
          </cell>
          <cell r="AE302">
            <v>4</v>
          </cell>
          <cell r="AF302">
            <v>3</v>
          </cell>
          <cell r="AG302">
            <v>1</v>
          </cell>
          <cell r="AH302">
            <v>0</v>
          </cell>
          <cell r="AI302">
            <v>2988</v>
          </cell>
          <cell r="AJ302">
            <v>1188</v>
          </cell>
          <cell r="AK302">
            <v>793</v>
          </cell>
          <cell r="AL302">
            <v>395</v>
          </cell>
          <cell r="AM302">
            <v>99</v>
          </cell>
        </row>
        <row r="303">
          <cell r="A303">
            <v>296</v>
          </cell>
          <cell r="B303" t="str">
            <v>Warwick</v>
          </cell>
          <cell r="C303" t="str">
            <v>E3735</v>
          </cell>
          <cell r="D303">
            <v>3405219.32</v>
          </cell>
          <cell r="E303">
            <v>63516.17</v>
          </cell>
          <cell r="F303">
            <v>9051.23</v>
          </cell>
          <cell r="G303">
            <v>0</v>
          </cell>
          <cell r="H303">
            <v>2884179.59</v>
          </cell>
          <cell r="I303">
            <v>24828.99</v>
          </cell>
          <cell r="J303">
            <v>132500.18</v>
          </cell>
          <cell r="K303">
            <v>4093.09</v>
          </cell>
          <cell r="L303">
            <v>7294.43</v>
          </cell>
          <cell r="M303">
            <v>0</v>
          </cell>
          <cell r="N303">
            <v>1128277.1599999999</v>
          </cell>
          <cell r="O303">
            <v>2282955.87</v>
          </cell>
          <cell r="P303">
            <v>0.9</v>
          </cell>
          <cell r="Q303">
            <v>1.0213000000000001</v>
          </cell>
          <cell r="S303">
            <v>4472</v>
          </cell>
          <cell r="T303">
            <v>163064167</v>
          </cell>
          <cell r="U303">
            <v>620376.55000000005</v>
          </cell>
          <cell r="X303">
            <v>249</v>
          </cell>
          <cell r="Y303">
            <v>17</v>
          </cell>
          <cell r="Z303">
            <v>8</v>
          </cell>
          <cell r="AA303">
            <v>0</v>
          </cell>
          <cell r="AB303">
            <v>379</v>
          </cell>
          <cell r="AC303">
            <v>105</v>
          </cell>
          <cell r="AD303">
            <v>42</v>
          </cell>
          <cell r="AE303">
            <v>0</v>
          </cell>
          <cell r="AF303">
            <v>8</v>
          </cell>
          <cell r="AG303">
            <v>0</v>
          </cell>
          <cell r="AH303">
            <v>0</v>
          </cell>
          <cell r="AI303">
            <v>3047</v>
          </cell>
          <cell r="AJ303">
            <v>1240</v>
          </cell>
          <cell r="AK303">
            <v>722</v>
          </cell>
          <cell r="AL303">
            <v>518</v>
          </cell>
          <cell r="AM303">
            <v>250</v>
          </cell>
        </row>
        <row r="304">
          <cell r="A304">
            <v>297</v>
          </cell>
          <cell r="B304" t="str">
            <v>Watford</v>
          </cell>
          <cell r="C304" t="str">
            <v>E1939</v>
          </cell>
          <cell r="D304">
            <v>2359712</v>
          </cell>
          <cell r="E304">
            <v>0</v>
          </cell>
          <cell r="F304">
            <v>0</v>
          </cell>
          <cell r="G304">
            <v>70000</v>
          </cell>
          <cell r="H304">
            <v>2182522</v>
          </cell>
          <cell r="I304">
            <v>72000</v>
          </cell>
          <cell r="J304">
            <v>22436</v>
          </cell>
          <cell r="K304">
            <v>0</v>
          </cell>
          <cell r="L304">
            <v>0</v>
          </cell>
          <cell r="M304">
            <v>0</v>
          </cell>
          <cell r="N304">
            <v>1104565</v>
          </cell>
          <cell r="O304">
            <v>942000</v>
          </cell>
          <cell r="P304">
            <v>0.9</v>
          </cell>
          <cell r="Q304">
            <v>1.0815999999999999</v>
          </cell>
          <cell r="S304">
            <v>3156</v>
          </cell>
          <cell r="T304">
            <v>164144275</v>
          </cell>
          <cell r="U304">
            <v>653679.05000000005</v>
          </cell>
          <cell r="X304">
            <v>115</v>
          </cell>
          <cell r="Y304">
            <v>0</v>
          </cell>
          <cell r="Z304">
            <v>0</v>
          </cell>
          <cell r="AA304">
            <v>0</v>
          </cell>
          <cell r="AB304">
            <v>377</v>
          </cell>
          <cell r="AC304">
            <v>58</v>
          </cell>
          <cell r="AD304">
            <v>6</v>
          </cell>
          <cell r="AE304">
            <v>0</v>
          </cell>
          <cell r="AF304">
            <v>0</v>
          </cell>
          <cell r="AG304">
            <v>0</v>
          </cell>
          <cell r="AH304">
            <v>0</v>
          </cell>
          <cell r="AI304">
            <v>2316</v>
          </cell>
          <cell r="AJ304">
            <v>589</v>
          </cell>
          <cell r="AK304">
            <v>372</v>
          </cell>
          <cell r="AL304">
            <v>217</v>
          </cell>
          <cell r="AM304">
            <v>30</v>
          </cell>
        </row>
        <row r="305">
          <cell r="A305">
            <v>298</v>
          </cell>
          <cell r="B305" t="str">
            <v>Waveney</v>
          </cell>
          <cell r="C305" t="str">
            <v>E3537</v>
          </cell>
          <cell r="D305">
            <v>1294915.54</v>
          </cell>
          <cell r="E305">
            <v>61966.34</v>
          </cell>
          <cell r="F305">
            <v>18857.099999999999</v>
          </cell>
          <cell r="G305">
            <v>0</v>
          </cell>
          <cell r="H305">
            <v>862282.89</v>
          </cell>
          <cell r="I305">
            <v>29789.43</v>
          </cell>
          <cell r="J305">
            <v>38028.61</v>
          </cell>
          <cell r="K305">
            <v>2804.15</v>
          </cell>
          <cell r="L305">
            <v>11337.35</v>
          </cell>
          <cell r="M305">
            <v>0</v>
          </cell>
          <cell r="N305">
            <v>424102.68</v>
          </cell>
          <cell r="O305">
            <v>2550459.29</v>
          </cell>
          <cell r="P305">
            <v>0.9</v>
          </cell>
          <cell r="Q305">
            <v>1.0054000000000001</v>
          </cell>
          <cell r="S305">
            <v>5210</v>
          </cell>
          <cell r="T305">
            <v>69513424</v>
          </cell>
          <cell r="U305">
            <v>254215.5</v>
          </cell>
          <cell r="X305">
            <v>261</v>
          </cell>
          <cell r="Y305">
            <v>20</v>
          </cell>
          <cell r="Z305">
            <v>13</v>
          </cell>
          <cell r="AA305">
            <v>0</v>
          </cell>
          <cell r="AB305">
            <v>464</v>
          </cell>
          <cell r="AC305">
            <v>186</v>
          </cell>
          <cell r="AD305">
            <v>15</v>
          </cell>
          <cell r="AE305">
            <v>10</v>
          </cell>
          <cell r="AF305">
            <v>11</v>
          </cell>
          <cell r="AG305">
            <v>0</v>
          </cell>
          <cell r="AH305">
            <v>0</v>
          </cell>
          <cell r="AI305">
            <v>1452</v>
          </cell>
          <cell r="AJ305">
            <v>2254</v>
          </cell>
          <cell r="AK305">
            <v>1927</v>
          </cell>
          <cell r="AL305">
            <v>327</v>
          </cell>
          <cell r="AM305">
            <v>1482</v>
          </cell>
        </row>
        <row r="306">
          <cell r="A306">
            <v>299</v>
          </cell>
          <cell r="B306" t="str">
            <v>Waverley</v>
          </cell>
          <cell r="C306" t="str">
            <v>E3640</v>
          </cell>
          <cell r="D306">
            <v>4403977.7</v>
          </cell>
          <cell r="E306">
            <v>30548.59</v>
          </cell>
          <cell r="F306">
            <v>6832.73</v>
          </cell>
          <cell r="G306">
            <v>11787.41</v>
          </cell>
          <cell r="H306">
            <v>861302.65</v>
          </cell>
          <cell r="I306">
            <v>3278.09</v>
          </cell>
          <cell r="J306">
            <v>222578.18</v>
          </cell>
          <cell r="K306">
            <v>0</v>
          </cell>
          <cell r="L306">
            <v>2306.04</v>
          </cell>
          <cell r="M306">
            <v>3503.25</v>
          </cell>
          <cell r="N306">
            <v>626207.86</v>
          </cell>
          <cell r="O306">
            <v>1556739.03</v>
          </cell>
          <cell r="P306">
            <v>0.9</v>
          </cell>
          <cell r="Q306">
            <v>1.1039000000000001</v>
          </cell>
          <cell r="S306">
            <v>3835</v>
          </cell>
          <cell r="T306">
            <v>96714979</v>
          </cell>
          <cell r="U306">
            <v>347242.25</v>
          </cell>
          <cell r="X306">
            <v>252</v>
          </cell>
          <cell r="Y306">
            <v>26</v>
          </cell>
          <cell r="Z306">
            <v>6</v>
          </cell>
          <cell r="AA306">
            <v>2</v>
          </cell>
          <cell r="AB306">
            <v>219</v>
          </cell>
          <cell r="AC306">
            <v>53</v>
          </cell>
          <cell r="AD306">
            <v>16</v>
          </cell>
          <cell r="AE306">
            <v>0</v>
          </cell>
          <cell r="AF306">
            <v>6</v>
          </cell>
          <cell r="AG306">
            <v>2</v>
          </cell>
          <cell r="AH306">
            <v>0</v>
          </cell>
          <cell r="AI306">
            <v>2840</v>
          </cell>
          <cell r="AJ306">
            <v>874</v>
          </cell>
          <cell r="AK306">
            <v>466</v>
          </cell>
          <cell r="AL306">
            <v>408</v>
          </cell>
          <cell r="AM306">
            <v>125</v>
          </cell>
        </row>
        <row r="307">
          <cell r="A307">
            <v>300</v>
          </cell>
          <cell r="B307" t="str">
            <v>Wealden</v>
          </cell>
          <cell r="C307" t="str">
            <v>E1437</v>
          </cell>
          <cell r="D307">
            <v>2063517.03</v>
          </cell>
          <cell r="E307">
            <v>126343.38</v>
          </cell>
          <cell r="F307">
            <v>81235.570000000007</v>
          </cell>
          <cell r="G307">
            <v>63100.55</v>
          </cell>
          <cell r="H307">
            <v>1401471.4</v>
          </cell>
          <cell r="I307">
            <v>18314.78</v>
          </cell>
          <cell r="J307">
            <v>19593.78</v>
          </cell>
          <cell r="K307">
            <v>0</v>
          </cell>
          <cell r="L307">
            <v>10147.08</v>
          </cell>
          <cell r="M307">
            <v>10291.42</v>
          </cell>
          <cell r="N307">
            <v>461304.2</v>
          </cell>
          <cell r="O307">
            <v>3446749.67</v>
          </cell>
          <cell r="P307">
            <v>0.9</v>
          </cell>
          <cell r="Q307">
            <v>1.0089999999999999</v>
          </cell>
          <cell r="S307">
            <v>5168</v>
          </cell>
          <cell r="T307">
            <v>81060774</v>
          </cell>
          <cell r="U307">
            <v>278451.96999999997</v>
          </cell>
          <cell r="X307">
            <v>281</v>
          </cell>
          <cell r="Y307">
            <v>45</v>
          </cell>
          <cell r="Z307">
            <v>43</v>
          </cell>
          <cell r="AA307">
            <v>3</v>
          </cell>
          <cell r="AB307">
            <v>528</v>
          </cell>
          <cell r="AC307">
            <v>20</v>
          </cell>
          <cell r="AD307">
            <v>14</v>
          </cell>
          <cell r="AE307">
            <v>0</v>
          </cell>
          <cell r="AF307">
            <v>12</v>
          </cell>
          <cell r="AG307">
            <v>5</v>
          </cell>
          <cell r="AH307">
            <v>0</v>
          </cell>
          <cell r="AI307">
            <v>2890</v>
          </cell>
          <cell r="AJ307">
            <v>2043</v>
          </cell>
          <cell r="AK307">
            <v>1269</v>
          </cell>
          <cell r="AL307">
            <v>774</v>
          </cell>
          <cell r="AM307">
            <v>187</v>
          </cell>
        </row>
        <row r="308">
          <cell r="A308">
            <v>301</v>
          </cell>
          <cell r="B308" t="str">
            <v>Wellingborough</v>
          </cell>
          <cell r="C308" t="str">
            <v>E2837</v>
          </cell>
          <cell r="D308">
            <v>1411311.4</v>
          </cell>
          <cell r="E308">
            <v>1931</v>
          </cell>
          <cell r="F308">
            <v>6070.97</v>
          </cell>
          <cell r="G308">
            <v>0</v>
          </cell>
          <cell r="H308">
            <v>1594108.3</v>
          </cell>
          <cell r="I308">
            <v>22348.01</v>
          </cell>
          <cell r="J308">
            <v>22357.13</v>
          </cell>
          <cell r="K308">
            <v>0</v>
          </cell>
          <cell r="L308">
            <v>2666.31</v>
          </cell>
          <cell r="M308">
            <v>0</v>
          </cell>
          <cell r="N308">
            <v>627701.24</v>
          </cell>
          <cell r="O308">
            <v>1749112.7</v>
          </cell>
          <cell r="P308">
            <v>0.9</v>
          </cell>
          <cell r="Q308">
            <v>1.0132000000000001</v>
          </cell>
          <cell r="S308">
            <v>2547</v>
          </cell>
          <cell r="T308">
            <v>72516484</v>
          </cell>
          <cell r="U308">
            <v>285432.28999999998</v>
          </cell>
          <cell r="X308">
            <v>143</v>
          </cell>
          <cell r="Y308">
            <v>1</v>
          </cell>
          <cell r="Z308">
            <v>5</v>
          </cell>
          <cell r="AA308">
            <v>3</v>
          </cell>
          <cell r="AB308">
            <v>333</v>
          </cell>
          <cell r="AC308">
            <v>85</v>
          </cell>
          <cell r="AD308">
            <v>11</v>
          </cell>
          <cell r="AE308">
            <v>0</v>
          </cell>
          <cell r="AF308">
            <v>4</v>
          </cell>
          <cell r="AG308">
            <v>0</v>
          </cell>
          <cell r="AH308">
            <v>0</v>
          </cell>
          <cell r="AI308">
            <v>1688</v>
          </cell>
          <cell r="AJ308">
            <v>870</v>
          </cell>
          <cell r="AK308">
            <v>601</v>
          </cell>
          <cell r="AL308">
            <v>269</v>
          </cell>
          <cell r="AM308">
            <v>59</v>
          </cell>
        </row>
        <row r="309">
          <cell r="A309">
            <v>302</v>
          </cell>
          <cell r="B309" t="str">
            <v>Welwyn Hatfield</v>
          </cell>
          <cell r="C309" t="str">
            <v>E1940</v>
          </cell>
          <cell r="D309">
            <v>4868209.43</v>
          </cell>
          <cell r="E309">
            <v>41952.800000000003</v>
          </cell>
          <cell r="F309">
            <v>812.95</v>
          </cell>
          <cell r="G309">
            <v>28655.67</v>
          </cell>
          <cell r="H309">
            <v>2203602</v>
          </cell>
          <cell r="I309">
            <v>49960.98</v>
          </cell>
          <cell r="J309">
            <v>22720.05</v>
          </cell>
          <cell r="K309">
            <v>1332.49</v>
          </cell>
          <cell r="L309">
            <v>0</v>
          </cell>
          <cell r="M309">
            <v>0</v>
          </cell>
          <cell r="N309">
            <v>1124171.81</v>
          </cell>
          <cell r="O309">
            <v>1210115</v>
          </cell>
          <cell r="P309">
            <v>0.9</v>
          </cell>
          <cell r="Q309">
            <v>1.0815999999999999</v>
          </cell>
          <cell r="S309">
            <v>2700</v>
          </cell>
          <cell r="T309">
            <v>141877340</v>
          </cell>
          <cell r="U309">
            <v>538257.17000000004</v>
          </cell>
          <cell r="X309">
            <v>178</v>
          </cell>
          <cell r="Y309">
            <v>10</v>
          </cell>
          <cell r="Z309">
            <v>1</v>
          </cell>
          <cell r="AA309">
            <v>1</v>
          </cell>
          <cell r="AB309">
            <v>310</v>
          </cell>
          <cell r="AC309">
            <v>77</v>
          </cell>
          <cell r="AD309">
            <v>9</v>
          </cell>
          <cell r="AE309">
            <v>10</v>
          </cell>
          <cell r="AF309">
            <v>0</v>
          </cell>
          <cell r="AG309">
            <v>0</v>
          </cell>
          <cell r="AH309">
            <v>0</v>
          </cell>
          <cell r="AI309">
            <v>2094</v>
          </cell>
          <cell r="AJ309">
            <v>531</v>
          </cell>
          <cell r="AK309">
            <v>337</v>
          </cell>
          <cell r="AL309">
            <v>194</v>
          </cell>
          <cell r="AM309">
            <v>25</v>
          </cell>
        </row>
        <row r="310">
          <cell r="A310">
            <v>303</v>
          </cell>
          <cell r="B310" t="str">
            <v>West Berkshire</v>
          </cell>
          <cell r="C310" t="str">
            <v>E0302</v>
          </cell>
          <cell r="D310">
            <v>2890588.36</v>
          </cell>
          <cell r="E310">
            <v>33459.65</v>
          </cell>
          <cell r="F310">
            <v>31362.42</v>
          </cell>
          <cell r="G310">
            <v>84000</v>
          </cell>
          <cell r="H310">
            <v>2227570.7999999998</v>
          </cell>
          <cell r="I310">
            <v>8234.25</v>
          </cell>
          <cell r="J310">
            <v>16809.96</v>
          </cell>
          <cell r="K310">
            <v>0</v>
          </cell>
          <cell r="L310">
            <v>11412.43</v>
          </cell>
          <cell r="M310">
            <v>31346.67</v>
          </cell>
          <cell r="N310">
            <v>1375460.13</v>
          </cell>
          <cell r="O310">
            <v>1175493.2</v>
          </cell>
          <cell r="P310">
            <v>1.3</v>
          </cell>
          <cell r="Q310">
            <v>1.0806</v>
          </cell>
          <cell r="S310">
            <v>5044</v>
          </cell>
          <cell r="T310">
            <v>194368638</v>
          </cell>
          <cell r="U310">
            <v>839701.31</v>
          </cell>
          <cell r="X310">
            <v>214</v>
          </cell>
          <cell r="Y310">
            <v>12</v>
          </cell>
          <cell r="Z310">
            <v>21</v>
          </cell>
          <cell r="AA310">
            <v>2</v>
          </cell>
          <cell r="AB310">
            <v>544</v>
          </cell>
          <cell r="AC310">
            <v>34</v>
          </cell>
          <cell r="AD310">
            <v>16</v>
          </cell>
          <cell r="AE310">
            <v>0</v>
          </cell>
          <cell r="AF310">
            <v>10</v>
          </cell>
          <cell r="AG310">
            <v>23</v>
          </cell>
          <cell r="AH310">
            <v>0</v>
          </cell>
          <cell r="AI310">
            <v>3921</v>
          </cell>
          <cell r="AJ310">
            <v>899</v>
          </cell>
          <cell r="AK310">
            <v>464</v>
          </cell>
          <cell r="AL310">
            <v>435</v>
          </cell>
          <cell r="AM310">
            <v>152</v>
          </cell>
        </row>
        <row r="311">
          <cell r="A311">
            <v>304</v>
          </cell>
          <cell r="B311" t="str">
            <v>West Devon</v>
          </cell>
          <cell r="C311" t="str">
            <v>E1140</v>
          </cell>
          <cell r="D311">
            <v>718083.45</v>
          </cell>
          <cell r="E311">
            <v>46327.01</v>
          </cell>
          <cell r="F311">
            <v>41419</v>
          </cell>
          <cell r="G311">
            <v>563.79999999999995</v>
          </cell>
          <cell r="H311">
            <v>360511.69</v>
          </cell>
          <cell r="I311">
            <v>4456.45</v>
          </cell>
          <cell r="J311">
            <v>8195.7000000000007</v>
          </cell>
          <cell r="K311">
            <v>230.56</v>
          </cell>
          <cell r="L311">
            <v>9889.81</v>
          </cell>
          <cell r="M311">
            <v>2232.83</v>
          </cell>
          <cell r="N311">
            <v>200642.51</v>
          </cell>
          <cell r="O311">
            <v>1007107.43</v>
          </cell>
          <cell r="P311">
            <v>0.9</v>
          </cell>
          <cell r="Q311">
            <v>1</v>
          </cell>
          <cell r="S311">
            <v>2169</v>
          </cell>
          <cell r="T311">
            <v>29156108</v>
          </cell>
          <cell r="U311">
            <v>100289.8</v>
          </cell>
          <cell r="X311">
            <v>180</v>
          </cell>
          <cell r="Y311">
            <v>26</v>
          </cell>
          <cell r="Z311">
            <v>41</v>
          </cell>
          <cell r="AA311">
            <v>1</v>
          </cell>
          <cell r="AB311">
            <v>107</v>
          </cell>
          <cell r="AC311">
            <v>111</v>
          </cell>
          <cell r="AD311">
            <v>6</v>
          </cell>
          <cell r="AE311">
            <v>6</v>
          </cell>
          <cell r="AF311">
            <v>21</v>
          </cell>
          <cell r="AG311">
            <v>3</v>
          </cell>
          <cell r="AH311">
            <v>0</v>
          </cell>
          <cell r="AI311">
            <v>1428</v>
          </cell>
          <cell r="AJ311">
            <v>688</v>
          </cell>
          <cell r="AK311">
            <v>498</v>
          </cell>
          <cell r="AL311">
            <v>190</v>
          </cell>
          <cell r="AM311">
            <v>56</v>
          </cell>
        </row>
        <row r="312">
          <cell r="A312">
            <v>305</v>
          </cell>
          <cell r="B312" t="str">
            <v>West Dorset</v>
          </cell>
          <cell r="C312" t="str">
            <v>E1237</v>
          </cell>
          <cell r="D312">
            <v>2106301.14</v>
          </cell>
          <cell r="E312">
            <v>84823.95</v>
          </cell>
          <cell r="F312">
            <v>72756.89</v>
          </cell>
          <cell r="G312">
            <v>0</v>
          </cell>
          <cell r="H312">
            <v>747823.99</v>
          </cell>
          <cell r="I312">
            <v>31215.35</v>
          </cell>
          <cell r="J312">
            <v>3495.05</v>
          </cell>
          <cell r="K312">
            <v>347.77</v>
          </cell>
          <cell r="L312">
            <v>44002.18</v>
          </cell>
          <cell r="M312">
            <v>0</v>
          </cell>
          <cell r="N312">
            <v>542222.34</v>
          </cell>
          <cell r="O312">
            <v>2419024</v>
          </cell>
          <cell r="P312">
            <v>0.9</v>
          </cell>
          <cell r="Q312">
            <v>1</v>
          </cell>
          <cell r="S312">
            <v>5168</v>
          </cell>
          <cell r="T312">
            <v>79410081</v>
          </cell>
          <cell r="U312">
            <v>292749.67</v>
          </cell>
          <cell r="X312">
            <v>335</v>
          </cell>
          <cell r="Y312">
            <v>26</v>
          </cell>
          <cell r="Z312">
            <v>64</v>
          </cell>
          <cell r="AA312">
            <v>0</v>
          </cell>
          <cell r="AB312">
            <v>357</v>
          </cell>
          <cell r="AC312">
            <v>1</v>
          </cell>
          <cell r="AD312">
            <v>2</v>
          </cell>
          <cell r="AE312">
            <v>3</v>
          </cell>
          <cell r="AF312">
            <v>52</v>
          </cell>
          <cell r="AG312">
            <v>0</v>
          </cell>
          <cell r="AH312">
            <v>0</v>
          </cell>
          <cell r="AI312">
            <v>3016</v>
          </cell>
          <cell r="AJ312">
            <v>2088</v>
          </cell>
          <cell r="AK312">
            <v>1462</v>
          </cell>
          <cell r="AL312">
            <v>626</v>
          </cell>
          <cell r="AM312">
            <v>163</v>
          </cell>
        </row>
        <row r="313">
          <cell r="A313">
            <v>306</v>
          </cell>
          <cell r="B313" t="str">
            <v>West Lancashire</v>
          </cell>
          <cell r="C313" t="str">
            <v>E2343</v>
          </cell>
          <cell r="D313">
            <v>2001222.32</v>
          </cell>
          <cell r="E313">
            <v>0</v>
          </cell>
          <cell r="F313">
            <v>4710.22</v>
          </cell>
          <cell r="G313">
            <v>51596.31</v>
          </cell>
          <cell r="H313">
            <v>1623358.73</v>
          </cell>
          <cell r="I313">
            <v>2001.46</v>
          </cell>
          <cell r="J313">
            <v>19281.48</v>
          </cell>
          <cell r="K313">
            <v>0</v>
          </cell>
          <cell r="L313">
            <v>2119.6</v>
          </cell>
          <cell r="M313">
            <v>0</v>
          </cell>
          <cell r="N313">
            <v>552027.05000000005</v>
          </cell>
          <cell r="O313">
            <v>1200186.3600000001</v>
          </cell>
          <cell r="P313">
            <v>0.9</v>
          </cell>
          <cell r="Q313">
            <v>1</v>
          </cell>
          <cell r="S313">
            <v>3109</v>
          </cell>
          <cell r="T313">
            <v>80724147</v>
          </cell>
          <cell r="U313">
            <v>301957.43</v>
          </cell>
          <cell r="X313">
            <v>146</v>
          </cell>
          <cell r="Y313">
            <v>0</v>
          </cell>
          <cell r="Z313">
            <v>5</v>
          </cell>
          <cell r="AA313">
            <v>6</v>
          </cell>
          <cell r="AB313">
            <v>357</v>
          </cell>
          <cell r="AC313">
            <v>8</v>
          </cell>
          <cell r="AD313">
            <v>15</v>
          </cell>
          <cell r="AE313">
            <v>0</v>
          </cell>
          <cell r="AF313">
            <v>6</v>
          </cell>
          <cell r="AG313">
            <v>0</v>
          </cell>
          <cell r="AH313">
            <v>0</v>
          </cell>
          <cell r="AI313">
            <v>2099</v>
          </cell>
          <cell r="AJ313">
            <v>931</v>
          </cell>
          <cell r="AK313">
            <v>613</v>
          </cell>
          <cell r="AL313">
            <v>318</v>
          </cell>
          <cell r="AM313">
            <v>63</v>
          </cell>
        </row>
        <row r="314">
          <cell r="A314">
            <v>307</v>
          </cell>
          <cell r="B314" t="str">
            <v>West Lindsey</v>
          </cell>
          <cell r="C314" t="str">
            <v>E2537</v>
          </cell>
          <cell r="D314">
            <v>1189243.46</v>
          </cell>
          <cell r="E314">
            <v>23898.44</v>
          </cell>
          <cell r="F314">
            <v>30034.92</v>
          </cell>
          <cell r="G314">
            <v>15000</v>
          </cell>
          <cell r="H314">
            <v>344077.17</v>
          </cell>
          <cell r="I314">
            <v>6838.42</v>
          </cell>
          <cell r="J314">
            <v>27177.83</v>
          </cell>
          <cell r="K314">
            <v>1267.52</v>
          </cell>
          <cell r="L314">
            <v>4745.4399999999996</v>
          </cell>
          <cell r="M314">
            <v>0</v>
          </cell>
          <cell r="N314">
            <v>300912.02</v>
          </cell>
          <cell r="O314">
            <v>1046520.24</v>
          </cell>
          <cell r="P314">
            <v>0.9</v>
          </cell>
          <cell r="Q314">
            <v>1</v>
          </cell>
          <cell r="S314">
            <v>2658</v>
          </cell>
          <cell r="T314">
            <v>42350592</v>
          </cell>
          <cell r="U314">
            <v>156054.34</v>
          </cell>
          <cell r="X314">
            <v>164</v>
          </cell>
          <cell r="Y314">
            <v>9</v>
          </cell>
          <cell r="Z314">
            <v>38</v>
          </cell>
          <cell r="AA314">
            <v>1</v>
          </cell>
          <cell r="AB314">
            <v>288</v>
          </cell>
          <cell r="AC314">
            <v>82</v>
          </cell>
          <cell r="AD314">
            <v>37</v>
          </cell>
          <cell r="AE314">
            <v>8</v>
          </cell>
          <cell r="AF314">
            <v>17</v>
          </cell>
          <cell r="AG314">
            <v>0</v>
          </cell>
          <cell r="AH314">
            <v>0</v>
          </cell>
          <cell r="AI314">
            <v>1626</v>
          </cell>
          <cell r="AJ314">
            <v>1022</v>
          </cell>
          <cell r="AK314">
            <v>758</v>
          </cell>
          <cell r="AL314">
            <v>264</v>
          </cell>
          <cell r="AM314">
            <v>57</v>
          </cell>
        </row>
        <row r="315">
          <cell r="A315">
            <v>308</v>
          </cell>
          <cell r="B315" t="str">
            <v>West Oxfordshire</v>
          </cell>
          <cell r="C315" t="str">
            <v>E3135</v>
          </cell>
          <cell r="D315">
            <v>1449839.85</v>
          </cell>
          <cell r="E315">
            <v>82031.460000000006</v>
          </cell>
          <cell r="F315">
            <v>40157.480000000003</v>
          </cell>
          <cell r="G315">
            <v>0</v>
          </cell>
          <cell r="H315">
            <v>577247.51</v>
          </cell>
          <cell r="I315">
            <v>16992.03</v>
          </cell>
          <cell r="J315">
            <v>0</v>
          </cell>
          <cell r="K315">
            <v>0</v>
          </cell>
          <cell r="L315">
            <v>3280.42</v>
          </cell>
          <cell r="M315">
            <v>0</v>
          </cell>
          <cell r="N315">
            <v>493784.56</v>
          </cell>
          <cell r="O315">
            <v>1884449.71</v>
          </cell>
          <cell r="P315">
            <v>0.9</v>
          </cell>
          <cell r="Q315">
            <v>1.0533999999999999</v>
          </cell>
          <cell r="S315">
            <v>3756</v>
          </cell>
          <cell r="T315">
            <v>77559241</v>
          </cell>
          <cell r="U315">
            <v>295573.55</v>
          </cell>
          <cell r="X315">
            <v>217</v>
          </cell>
          <cell r="Y315">
            <v>21</v>
          </cell>
          <cell r="Z315">
            <v>23</v>
          </cell>
          <cell r="AA315">
            <v>0</v>
          </cell>
          <cell r="AB315">
            <v>175</v>
          </cell>
          <cell r="AC315">
            <v>12</v>
          </cell>
          <cell r="AD315">
            <v>0</v>
          </cell>
          <cell r="AE315">
            <v>0</v>
          </cell>
          <cell r="AF315">
            <v>4</v>
          </cell>
          <cell r="AG315">
            <v>0</v>
          </cell>
          <cell r="AH315">
            <v>0</v>
          </cell>
          <cell r="AI315">
            <v>2425</v>
          </cell>
          <cell r="AJ315">
            <v>1164</v>
          </cell>
          <cell r="AK315">
            <v>783</v>
          </cell>
          <cell r="AL315">
            <v>381</v>
          </cell>
          <cell r="AM315">
            <v>130</v>
          </cell>
        </row>
        <row r="316">
          <cell r="A316">
            <v>309</v>
          </cell>
          <cell r="B316" t="str">
            <v>West Somerset</v>
          </cell>
          <cell r="C316" t="str">
            <v>E3335</v>
          </cell>
          <cell r="D316">
            <v>475812.3</v>
          </cell>
          <cell r="E316">
            <v>7236.4</v>
          </cell>
          <cell r="F316">
            <v>33716.980000000003</v>
          </cell>
          <cell r="G316">
            <v>0</v>
          </cell>
          <cell r="H316">
            <v>175368.1</v>
          </cell>
          <cell r="I316">
            <v>6621.29</v>
          </cell>
          <cell r="J316">
            <v>58034.65</v>
          </cell>
          <cell r="K316">
            <v>452.28</v>
          </cell>
          <cell r="L316">
            <v>25287.68</v>
          </cell>
          <cell r="M316">
            <v>40376.449999999997</v>
          </cell>
          <cell r="N316">
            <v>197804.76</v>
          </cell>
          <cell r="O316">
            <v>1041278.63</v>
          </cell>
          <cell r="P316">
            <v>0.9</v>
          </cell>
          <cell r="Q316">
            <v>1</v>
          </cell>
          <cell r="S316">
            <v>1853</v>
          </cell>
          <cell r="T316">
            <v>31480366</v>
          </cell>
          <cell r="U316">
            <v>101691.52</v>
          </cell>
          <cell r="X316">
            <v>137</v>
          </cell>
          <cell r="Y316">
            <v>1</v>
          </cell>
          <cell r="Z316">
            <v>34</v>
          </cell>
          <cell r="AA316">
            <v>0</v>
          </cell>
          <cell r="AB316">
            <v>113</v>
          </cell>
          <cell r="AC316">
            <v>28</v>
          </cell>
          <cell r="AD316">
            <v>35</v>
          </cell>
          <cell r="AE316">
            <v>1</v>
          </cell>
          <cell r="AF316">
            <v>34</v>
          </cell>
          <cell r="AG316">
            <v>73</v>
          </cell>
          <cell r="AH316">
            <v>0</v>
          </cell>
          <cell r="AI316">
            <v>1059</v>
          </cell>
          <cell r="AJ316">
            <v>738</v>
          </cell>
          <cell r="AK316">
            <v>569</v>
          </cell>
          <cell r="AL316">
            <v>169</v>
          </cell>
          <cell r="AM316">
            <v>32</v>
          </cell>
        </row>
        <row r="317">
          <cell r="A317">
            <v>310</v>
          </cell>
          <cell r="B317" t="str">
            <v>Westminster</v>
          </cell>
          <cell r="C317" t="str">
            <v>E5022</v>
          </cell>
          <cell r="D317">
            <v>58061334.409999996</v>
          </cell>
          <cell r="E317">
            <v>21617.599999999999</v>
          </cell>
          <cell r="F317">
            <v>0</v>
          </cell>
          <cell r="G317">
            <v>899609.2</v>
          </cell>
          <cell r="H317">
            <v>93205409.549999997</v>
          </cell>
          <cell r="I317">
            <v>178221.59</v>
          </cell>
          <cell r="J317">
            <v>16089.37</v>
          </cell>
          <cell r="K317">
            <v>1351.1</v>
          </cell>
          <cell r="L317">
            <v>0</v>
          </cell>
          <cell r="M317">
            <v>0</v>
          </cell>
          <cell r="N317">
            <v>32903024.489999998</v>
          </cell>
          <cell r="O317">
            <v>1582665.64</v>
          </cell>
          <cell r="P317">
            <v>1.1000000000000001</v>
          </cell>
          <cell r="Q317">
            <v>1.2208000000000001</v>
          </cell>
          <cell r="S317">
            <v>35125</v>
          </cell>
          <cell r="T317">
            <v>4230179454</v>
          </cell>
          <cell r="U317">
            <v>21032918.559999999</v>
          </cell>
          <cell r="X317">
            <v>1084</v>
          </cell>
          <cell r="Y317">
            <v>1</v>
          </cell>
          <cell r="Z317">
            <v>0</v>
          </cell>
          <cell r="AA317">
            <v>3</v>
          </cell>
          <cell r="AB317">
            <v>5394</v>
          </cell>
          <cell r="AC317">
            <v>173</v>
          </cell>
          <cell r="AD317">
            <v>2</v>
          </cell>
          <cell r="AE317">
            <v>1</v>
          </cell>
          <cell r="AF317">
            <v>0</v>
          </cell>
          <cell r="AG317">
            <v>0</v>
          </cell>
          <cell r="AH317">
            <v>0</v>
          </cell>
          <cell r="AI317">
            <v>22016</v>
          </cell>
          <cell r="AJ317">
            <v>982</v>
          </cell>
          <cell r="AK317">
            <v>307</v>
          </cell>
          <cell r="AL317">
            <v>675</v>
          </cell>
          <cell r="AM317">
            <v>11906</v>
          </cell>
        </row>
        <row r="318">
          <cell r="A318">
            <v>311</v>
          </cell>
          <cell r="B318" t="str">
            <v>Weymouth and Portland</v>
          </cell>
          <cell r="C318" t="str">
            <v>E1238</v>
          </cell>
          <cell r="D318">
            <v>794035.31</v>
          </cell>
          <cell r="E318">
            <v>67496.570000000007</v>
          </cell>
          <cell r="F318">
            <v>0</v>
          </cell>
          <cell r="G318">
            <v>0</v>
          </cell>
          <cell r="H318">
            <v>354922</v>
          </cell>
          <cell r="I318">
            <v>5777.1</v>
          </cell>
          <cell r="J318">
            <v>54696.68</v>
          </cell>
          <cell r="K318">
            <v>0</v>
          </cell>
          <cell r="L318">
            <v>0</v>
          </cell>
          <cell r="M318">
            <v>0</v>
          </cell>
          <cell r="N318">
            <v>302370.01</v>
          </cell>
          <cell r="O318">
            <v>1019195</v>
          </cell>
          <cell r="P318">
            <v>0.9</v>
          </cell>
          <cell r="Q318">
            <v>1</v>
          </cell>
          <cell r="S318">
            <v>2702</v>
          </cell>
          <cell r="T318">
            <v>42592677</v>
          </cell>
          <cell r="U318">
            <v>163437.57</v>
          </cell>
          <cell r="X318">
            <v>108</v>
          </cell>
          <cell r="Y318">
            <v>15</v>
          </cell>
          <cell r="Z318">
            <v>0</v>
          </cell>
          <cell r="AA318">
            <v>0</v>
          </cell>
          <cell r="AB318">
            <v>251</v>
          </cell>
          <cell r="AC318">
            <v>4</v>
          </cell>
          <cell r="AD318">
            <v>0</v>
          </cell>
          <cell r="AE318">
            <v>0</v>
          </cell>
          <cell r="AF318">
            <v>0</v>
          </cell>
          <cell r="AG318">
            <v>0</v>
          </cell>
          <cell r="AH318">
            <v>0</v>
          </cell>
          <cell r="AI318">
            <v>1213</v>
          </cell>
          <cell r="AJ318">
            <v>1460</v>
          </cell>
          <cell r="AK318">
            <v>1022</v>
          </cell>
          <cell r="AL318">
            <v>438</v>
          </cell>
          <cell r="AM318">
            <v>66</v>
          </cell>
        </row>
        <row r="319">
          <cell r="A319">
            <v>312</v>
          </cell>
          <cell r="B319" t="str">
            <v>Wigan</v>
          </cell>
          <cell r="C319" t="str">
            <v>E4210</v>
          </cell>
          <cell r="D319">
            <v>4000356.07</v>
          </cell>
          <cell r="E319">
            <v>151988.79999999999</v>
          </cell>
          <cell r="F319">
            <v>0</v>
          </cell>
          <cell r="G319">
            <v>195624.27</v>
          </cell>
          <cell r="H319">
            <v>3901172.59</v>
          </cell>
          <cell r="I319">
            <v>194894.39</v>
          </cell>
          <cell r="J319">
            <v>201950.4</v>
          </cell>
          <cell r="K319">
            <v>6659.69</v>
          </cell>
          <cell r="L319">
            <v>0</v>
          </cell>
          <cell r="M319">
            <v>0</v>
          </cell>
          <cell r="N319">
            <v>1365314.54</v>
          </cell>
          <cell r="O319">
            <v>5401704.3700000001</v>
          </cell>
          <cell r="P319">
            <v>1.7</v>
          </cell>
          <cell r="Q319">
            <v>1.0168999999999999</v>
          </cell>
          <cell r="S319">
            <v>9067</v>
          </cell>
          <cell r="T319">
            <v>205617588</v>
          </cell>
          <cell r="U319">
            <v>1044776.17</v>
          </cell>
          <cell r="X319">
            <v>380</v>
          </cell>
          <cell r="Y319">
            <v>9</v>
          </cell>
          <cell r="Z319">
            <v>0</v>
          </cell>
          <cell r="AA319">
            <v>0</v>
          </cell>
          <cell r="AB319">
            <v>724</v>
          </cell>
          <cell r="AC319">
            <v>339</v>
          </cell>
          <cell r="AD319">
            <v>73</v>
          </cell>
          <cell r="AE319">
            <v>7</v>
          </cell>
          <cell r="AF319">
            <v>0</v>
          </cell>
          <cell r="AG319">
            <v>0</v>
          </cell>
          <cell r="AH319">
            <v>0</v>
          </cell>
          <cell r="AI319">
            <v>5745</v>
          </cell>
          <cell r="AJ319">
            <v>3105</v>
          </cell>
          <cell r="AK319">
            <v>2121</v>
          </cell>
          <cell r="AL319">
            <v>984</v>
          </cell>
          <cell r="AM319">
            <v>211</v>
          </cell>
        </row>
        <row r="320">
          <cell r="A320">
            <v>313</v>
          </cell>
          <cell r="B320" t="str">
            <v>Wiltshire UA</v>
          </cell>
          <cell r="C320" t="str">
            <v>E3902</v>
          </cell>
          <cell r="D320">
            <v>7328483</v>
          </cell>
          <cell r="E320">
            <v>125751</v>
          </cell>
          <cell r="F320">
            <v>162084</v>
          </cell>
          <cell r="G320">
            <v>0</v>
          </cell>
          <cell r="H320">
            <v>4055544</v>
          </cell>
          <cell r="I320">
            <v>11351</v>
          </cell>
          <cell r="J320">
            <v>539387</v>
          </cell>
          <cell r="K320">
            <v>129</v>
          </cell>
          <cell r="L320">
            <v>38300</v>
          </cell>
          <cell r="M320">
            <v>3881</v>
          </cell>
          <cell r="N320">
            <v>2350150</v>
          </cell>
          <cell r="O320">
            <v>4638733</v>
          </cell>
          <cell r="P320">
            <v>1.3</v>
          </cell>
          <cell r="Q320">
            <v>1.0216000000000001</v>
          </cell>
          <cell r="S320">
            <v>14085</v>
          </cell>
          <cell r="T320">
            <v>357894348</v>
          </cell>
          <cell r="U320">
            <v>1519357.79</v>
          </cell>
          <cell r="X320">
            <v>954</v>
          </cell>
          <cell r="Y320">
            <v>28</v>
          </cell>
          <cell r="Z320">
            <v>241</v>
          </cell>
          <cell r="AA320">
            <v>0</v>
          </cell>
          <cell r="AB320">
            <v>1410</v>
          </cell>
          <cell r="AC320">
            <v>184</v>
          </cell>
          <cell r="AD320">
            <v>279</v>
          </cell>
          <cell r="AE320">
            <v>3</v>
          </cell>
          <cell r="AF320">
            <v>43</v>
          </cell>
          <cell r="AG320">
            <v>2</v>
          </cell>
          <cell r="AH320">
            <v>0</v>
          </cell>
          <cell r="AI320">
            <v>9701</v>
          </cell>
          <cell r="AJ320">
            <v>3808</v>
          </cell>
          <cell r="AK320">
            <v>2397</v>
          </cell>
          <cell r="AL320">
            <v>1411</v>
          </cell>
          <cell r="AM320">
            <v>460</v>
          </cell>
        </row>
        <row r="321">
          <cell r="A321">
            <v>314</v>
          </cell>
          <cell r="B321" t="str">
            <v>Winchester</v>
          </cell>
          <cell r="C321" t="str">
            <v>E1743</v>
          </cell>
          <cell r="D321">
            <v>2989424.82</v>
          </cell>
          <cell r="E321">
            <v>41566.58</v>
          </cell>
          <cell r="F321">
            <v>15263.16</v>
          </cell>
          <cell r="G321">
            <v>161748.43</v>
          </cell>
          <cell r="H321">
            <v>1679469.67</v>
          </cell>
          <cell r="I321">
            <v>18730.77</v>
          </cell>
          <cell r="J321">
            <v>130236.08</v>
          </cell>
          <cell r="K321">
            <v>939.15</v>
          </cell>
          <cell r="L321">
            <v>6878.72</v>
          </cell>
          <cell r="M321">
            <v>6302.99</v>
          </cell>
          <cell r="N321">
            <v>887026.69</v>
          </cell>
          <cell r="O321">
            <v>1809927.22</v>
          </cell>
          <cell r="P321">
            <v>0.9</v>
          </cell>
          <cell r="Q321">
            <v>1.036</v>
          </cell>
          <cell r="S321">
            <v>4119</v>
          </cell>
          <cell r="T321">
            <v>126913299</v>
          </cell>
          <cell r="U321">
            <v>481916.12</v>
          </cell>
          <cell r="X321">
            <v>215</v>
          </cell>
          <cell r="Y321">
            <v>22</v>
          </cell>
          <cell r="Z321">
            <v>13</v>
          </cell>
          <cell r="AA321">
            <v>5</v>
          </cell>
          <cell r="AB321">
            <v>358</v>
          </cell>
          <cell r="AC321">
            <v>95</v>
          </cell>
          <cell r="AD321">
            <v>4</v>
          </cell>
          <cell r="AE321">
            <v>7</v>
          </cell>
          <cell r="AF321">
            <v>10</v>
          </cell>
          <cell r="AG321">
            <v>3</v>
          </cell>
          <cell r="AH321">
            <v>0</v>
          </cell>
          <cell r="AI321">
            <v>2839</v>
          </cell>
          <cell r="AJ321">
            <v>1081</v>
          </cell>
          <cell r="AK321">
            <v>670</v>
          </cell>
          <cell r="AL321">
            <v>411</v>
          </cell>
          <cell r="AM321">
            <v>147</v>
          </cell>
        </row>
        <row r="322">
          <cell r="A322">
            <v>315</v>
          </cell>
          <cell r="B322" t="str">
            <v>Windsor and Maidenhead</v>
          </cell>
          <cell r="C322" t="str">
            <v>E0305</v>
          </cell>
          <cell r="D322">
            <v>4190719.18</v>
          </cell>
          <cell r="E322">
            <v>0</v>
          </cell>
          <cell r="F322">
            <v>10614.17</v>
          </cell>
          <cell r="G322">
            <v>64378.15</v>
          </cell>
          <cell r="H322">
            <v>3725561.58</v>
          </cell>
          <cell r="I322">
            <v>49334.58</v>
          </cell>
          <cell r="J322">
            <v>64384.14</v>
          </cell>
          <cell r="K322">
            <v>0</v>
          </cell>
          <cell r="L322">
            <v>0</v>
          </cell>
          <cell r="M322">
            <v>13857.58</v>
          </cell>
          <cell r="N322">
            <v>1389456.6</v>
          </cell>
          <cell r="O322">
            <v>1305481.6100000001</v>
          </cell>
          <cell r="P322">
            <v>1.3</v>
          </cell>
          <cell r="Q322">
            <v>1.1039000000000001</v>
          </cell>
          <cell r="S322">
            <v>4738</v>
          </cell>
          <cell r="T322">
            <v>193845626</v>
          </cell>
          <cell r="U322">
            <v>836775.11</v>
          </cell>
          <cell r="X322">
            <v>148</v>
          </cell>
          <cell r="Y322">
            <v>0</v>
          </cell>
          <cell r="Z322">
            <v>7</v>
          </cell>
          <cell r="AA322">
            <v>9</v>
          </cell>
          <cell r="AB322">
            <v>652</v>
          </cell>
          <cell r="AC322">
            <v>148</v>
          </cell>
          <cell r="AD322">
            <v>46</v>
          </cell>
          <cell r="AE322">
            <v>0</v>
          </cell>
          <cell r="AF322">
            <v>7</v>
          </cell>
          <cell r="AG322">
            <v>10</v>
          </cell>
          <cell r="AH322">
            <v>0</v>
          </cell>
          <cell r="AI322">
            <v>3990</v>
          </cell>
          <cell r="AJ322">
            <v>738</v>
          </cell>
          <cell r="AK322">
            <v>299</v>
          </cell>
          <cell r="AL322">
            <v>439</v>
          </cell>
          <cell r="AM322">
            <v>145</v>
          </cell>
        </row>
        <row r="323">
          <cell r="A323">
            <v>316</v>
          </cell>
          <cell r="B323" t="str">
            <v>Wirral</v>
          </cell>
          <cell r="C323" t="str">
            <v>E4305</v>
          </cell>
          <cell r="D323">
            <v>4435004</v>
          </cell>
          <cell r="E323">
            <v>30136</v>
          </cell>
          <cell r="F323">
            <v>549</v>
          </cell>
          <cell r="G323">
            <v>250000</v>
          </cell>
          <cell r="H323">
            <v>1913563</v>
          </cell>
          <cell r="I323">
            <v>209474</v>
          </cell>
          <cell r="J323">
            <v>143551</v>
          </cell>
          <cell r="K323">
            <v>1883</v>
          </cell>
          <cell r="L323">
            <v>412</v>
          </cell>
          <cell r="M323">
            <v>0</v>
          </cell>
          <cell r="N323">
            <v>1203013</v>
          </cell>
          <cell r="O323">
            <v>4925885</v>
          </cell>
          <cell r="P323">
            <v>1.7</v>
          </cell>
          <cell r="Q323">
            <v>1.0075000000000001</v>
          </cell>
          <cell r="S323">
            <v>8039</v>
          </cell>
          <cell r="T323">
            <v>180353758</v>
          </cell>
          <cell r="U323">
            <v>923237.66</v>
          </cell>
          <cell r="X323">
            <v>430</v>
          </cell>
          <cell r="Y323">
            <v>9</v>
          </cell>
          <cell r="Z323">
            <v>1</v>
          </cell>
          <cell r="AA323">
            <v>12</v>
          </cell>
          <cell r="AB323">
            <v>1248</v>
          </cell>
          <cell r="AC323">
            <v>410</v>
          </cell>
          <cell r="AD323">
            <v>31</v>
          </cell>
          <cell r="AE323">
            <v>9</v>
          </cell>
          <cell r="AF323">
            <v>1</v>
          </cell>
          <cell r="AG323">
            <v>0</v>
          </cell>
          <cell r="AH323">
            <v>0</v>
          </cell>
          <cell r="AI323">
            <v>4829</v>
          </cell>
          <cell r="AJ323">
            <v>3175</v>
          </cell>
          <cell r="AK323">
            <v>2123</v>
          </cell>
          <cell r="AL323">
            <v>851</v>
          </cell>
          <cell r="AM323">
            <v>201</v>
          </cell>
        </row>
        <row r="324">
          <cell r="A324">
            <v>317</v>
          </cell>
          <cell r="B324" t="str">
            <v>Woking</v>
          </cell>
          <cell r="C324" t="str">
            <v>E3641</v>
          </cell>
          <cell r="D324">
            <v>1596114.38</v>
          </cell>
          <cell r="E324">
            <v>0</v>
          </cell>
          <cell r="F324">
            <v>627.85</v>
          </cell>
          <cell r="G324">
            <v>0</v>
          </cell>
          <cell r="H324">
            <v>1077762.8600000001</v>
          </cell>
          <cell r="I324">
            <v>53984.66</v>
          </cell>
          <cell r="J324">
            <v>12568.1</v>
          </cell>
          <cell r="K324">
            <v>0</v>
          </cell>
          <cell r="L324">
            <v>0</v>
          </cell>
          <cell r="M324">
            <v>0</v>
          </cell>
          <cell r="N324">
            <v>725745.79</v>
          </cell>
          <cell r="O324">
            <v>828889.06</v>
          </cell>
          <cell r="P324">
            <v>0.9</v>
          </cell>
          <cell r="Q324">
            <v>1.1039000000000001</v>
          </cell>
          <cell r="S324">
            <v>2531</v>
          </cell>
          <cell r="T324">
            <v>107631686</v>
          </cell>
          <cell r="U324">
            <v>448533.68</v>
          </cell>
          <cell r="X324">
            <v>133</v>
          </cell>
          <cell r="Y324">
            <v>0</v>
          </cell>
          <cell r="Z324">
            <v>1</v>
          </cell>
          <cell r="AA324">
            <v>0</v>
          </cell>
          <cell r="AB324">
            <v>113</v>
          </cell>
          <cell r="AC324">
            <v>111</v>
          </cell>
          <cell r="AD324">
            <v>13</v>
          </cell>
          <cell r="AE324">
            <v>0</v>
          </cell>
          <cell r="AF324">
            <v>0</v>
          </cell>
          <cell r="AG324">
            <v>0</v>
          </cell>
          <cell r="AH324">
            <v>0</v>
          </cell>
          <cell r="AI324">
            <v>1982</v>
          </cell>
          <cell r="AJ324">
            <v>451</v>
          </cell>
          <cell r="AK324">
            <v>210</v>
          </cell>
          <cell r="AL324">
            <v>241</v>
          </cell>
          <cell r="AM324">
            <v>96</v>
          </cell>
        </row>
        <row r="325">
          <cell r="A325">
            <v>318</v>
          </cell>
          <cell r="B325" t="str">
            <v>Wokingham</v>
          </cell>
          <cell r="C325" t="str">
            <v>E0306</v>
          </cell>
          <cell r="D325">
            <v>4106501</v>
          </cell>
          <cell r="E325">
            <v>27890</v>
          </cell>
          <cell r="F325">
            <v>7839</v>
          </cell>
          <cell r="G325">
            <v>68497</v>
          </cell>
          <cell r="H325">
            <v>2430815</v>
          </cell>
          <cell r="I325">
            <v>1786</v>
          </cell>
          <cell r="J325">
            <v>25042</v>
          </cell>
          <cell r="K325">
            <v>88</v>
          </cell>
          <cell r="L325">
            <v>1836</v>
          </cell>
          <cell r="M325">
            <v>0</v>
          </cell>
          <cell r="N325">
            <v>979498</v>
          </cell>
          <cell r="O325">
            <v>1261732</v>
          </cell>
          <cell r="P325">
            <v>1.3</v>
          </cell>
          <cell r="Q325">
            <v>1.0806</v>
          </cell>
          <cell r="S325">
            <v>3532</v>
          </cell>
          <cell r="T325">
            <v>138520856</v>
          </cell>
          <cell r="U325">
            <v>564419.80000000005</v>
          </cell>
          <cell r="X325">
            <v>179</v>
          </cell>
          <cell r="Y325">
            <v>4</v>
          </cell>
          <cell r="Z325">
            <v>6</v>
          </cell>
          <cell r="AA325">
            <v>9</v>
          </cell>
          <cell r="AB325">
            <v>463</v>
          </cell>
          <cell r="AC325">
            <v>10</v>
          </cell>
          <cell r="AD325">
            <v>21</v>
          </cell>
          <cell r="AE325">
            <v>1</v>
          </cell>
          <cell r="AF325">
            <v>2</v>
          </cell>
          <cell r="AG325">
            <v>0</v>
          </cell>
          <cell r="AH325">
            <v>0</v>
          </cell>
          <cell r="AI325">
            <v>2639</v>
          </cell>
          <cell r="AJ325">
            <v>750</v>
          </cell>
          <cell r="AK325">
            <v>434</v>
          </cell>
          <cell r="AL325">
            <v>316</v>
          </cell>
          <cell r="AM325">
            <v>120</v>
          </cell>
        </row>
        <row r="326">
          <cell r="A326">
            <v>319</v>
          </cell>
          <cell r="B326" t="str">
            <v>Wolverhampton</v>
          </cell>
          <cell r="C326" t="str">
            <v>E4607</v>
          </cell>
          <cell r="D326">
            <v>3964064.02</v>
          </cell>
          <cell r="E326">
            <v>12699</v>
          </cell>
          <cell r="F326">
            <v>0</v>
          </cell>
          <cell r="G326">
            <v>100000</v>
          </cell>
          <cell r="H326">
            <v>3901384.97</v>
          </cell>
          <cell r="I326">
            <v>97408.6</v>
          </cell>
          <cell r="J326">
            <v>281938.34999999998</v>
          </cell>
          <cell r="K326">
            <v>419.06</v>
          </cell>
          <cell r="L326">
            <v>0</v>
          </cell>
          <cell r="M326">
            <v>0</v>
          </cell>
          <cell r="N326">
            <v>1306259.1200000001</v>
          </cell>
          <cell r="O326">
            <v>3771267.25</v>
          </cell>
          <cell r="P326">
            <v>1.7</v>
          </cell>
          <cell r="Q326">
            <v>1.0134000000000001</v>
          </cell>
          <cell r="S326">
            <v>8123</v>
          </cell>
          <cell r="T326">
            <v>191994975</v>
          </cell>
          <cell r="U326">
            <v>996111.21</v>
          </cell>
          <cell r="X326">
            <v>273</v>
          </cell>
          <cell r="Y326">
            <v>4</v>
          </cell>
          <cell r="Z326">
            <v>0</v>
          </cell>
          <cell r="AA326">
            <v>0</v>
          </cell>
          <cell r="AB326">
            <v>1587</v>
          </cell>
          <cell r="AC326">
            <v>174</v>
          </cell>
          <cell r="AD326">
            <v>61</v>
          </cell>
          <cell r="AE326">
            <v>4</v>
          </cell>
          <cell r="AF326">
            <v>0</v>
          </cell>
          <cell r="AG326">
            <v>0</v>
          </cell>
          <cell r="AH326">
            <v>0</v>
          </cell>
          <cell r="AI326">
            <v>5724</v>
          </cell>
          <cell r="AJ326">
            <v>2196</v>
          </cell>
          <cell r="AK326">
            <v>1437</v>
          </cell>
          <cell r="AL326">
            <v>759</v>
          </cell>
          <cell r="AM326">
            <v>158</v>
          </cell>
        </row>
        <row r="327">
          <cell r="A327">
            <v>320</v>
          </cell>
          <cell r="B327" t="str">
            <v>Worcester</v>
          </cell>
          <cell r="C327" t="str">
            <v>E1837</v>
          </cell>
          <cell r="D327">
            <v>2936727.4</v>
          </cell>
          <cell r="E327">
            <v>16596.55</v>
          </cell>
          <cell r="F327">
            <v>0</v>
          </cell>
          <cell r="G327">
            <v>2237.02</v>
          </cell>
          <cell r="H327">
            <v>1291824.18</v>
          </cell>
          <cell r="I327">
            <v>42334.29</v>
          </cell>
          <cell r="J327">
            <v>12230.15</v>
          </cell>
          <cell r="K327">
            <v>946.84</v>
          </cell>
          <cell r="L327">
            <v>0</v>
          </cell>
          <cell r="M327">
            <v>0</v>
          </cell>
          <cell r="N327">
            <v>706479.51</v>
          </cell>
          <cell r="O327">
            <v>1377552.16</v>
          </cell>
          <cell r="P327">
            <v>0.9</v>
          </cell>
          <cell r="Q327">
            <v>1</v>
          </cell>
          <cell r="S327">
            <v>3096</v>
          </cell>
          <cell r="T327">
            <v>101676929</v>
          </cell>
          <cell r="U327">
            <v>380224.65</v>
          </cell>
          <cell r="X327">
            <v>201</v>
          </cell>
          <cell r="Y327">
            <v>4</v>
          </cell>
          <cell r="Z327">
            <v>0</v>
          </cell>
          <cell r="AA327">
            <v>0</v>
          </cell>
          <cell r="AB327">
            <v>461</v>
          </cell>
          <cell r="AC327">
            <v>123</v>
          </cell>
          <cell r="AD327">
            <v>10</v>
          </cell>
          <cell r="AE327">
            <v>3</v>
          </cell>
          <cell r="AF327">
            <v>0</v>
          </cell>
          <cell r="AG327">
            <v>0</v>
          </cell>
          <cell r="AH327">
            <v>0</v>
          </cell>
          <cell r="AI327">
            <v>2225</v>
          </cell>
          <cell r="AJ327">
            <v>856</v>
          </cell>
          <cell r="AK327">
            <v>0</v>
          </cell>
          <cell r="AL327">
            <v>0</v>
          </cell>
          <cell r="AM327">
            <v>93</v>
          </cell>
        </row>
        <row r="328">
          <cell r="A328">
            <v>321</v>
          </cell>
          <cell r="B328" t="str">
            <v>Worthing</v>
          </cell>
          <cell r="C328" t="str">
            <v>E3837</v>
          </cell>
          <cell r="D328">
            <v>1526122</v>
          </cell>
          <cell r="E328">
            <v>9878</v>
          </cell>
          <cell r="F328">
            <v>0</v>
          </cell>
          <cell r="G328">
            <v>0</v>
          </cell>
          <cell r="H328">
            <v>417360</v>
          </cell>
          <cell r="I328">
            <v>8911</v>
          </cell>
          <cell r="J328">
            <v>2755</v>
          </cell>
          <cell r="K328">
            <v>0</v>
          </cell>
          <cell r="L328">
            <v>0</v>
          </cell>
          <cell r="M328">
            <v>0</v>
          </cell>
          <cell r="N328">
            <v>527213</v>
          </cell>
          <cell r="O328">
            <v>1775734</v>
          </cell>
          <cell r="P328">
            <v>0.9</v>
          </cell>
          <cell r="Q328">
            <v>1</v>
          </cell>
          <cell r="S328">
            <v>3113</v>
          </cell>
          <cell r="T328">
            <v>78023729</v>
          </cell>
          <cell r="U328">
            <v>302491.28999999998</v>
          </cell>
          <cell r="X328">
            <v>154</v>
          </cell>
          <cell r="Y328">
            <v>6</v>
          </cell>
          <cell r="Z328">
            <v>0</v>
          </cell>
          <cell r="AA328">
            <v>2</v>
          </cell>
          <cell r="AB328">
            <v>133</v>
          </cell>
          <cell r="AC328">
            <v>56</v>
          </cell>
          <cell r="AD328">
            <v>2</v>
          </cell>
          <cell r="AE328">
            <v>6</v>
          </cell>
          <cell r="AF328">
            <v>0</v>
          </cell>
          <cell r="AG328">
            <v>0</v>
          </cell>
          <cell r="AH328">
            <v>0</v>
          </cell>
          <cell r="AI328">
            <v>1095</v>
          </cell>
          <cell r="AJ328">
            <v>1198</v>
          </cell>
          <cell r="AK328">
            <v>828</v>
          </cell>
          <cell r="AL328">
            <v>370</v>
          </cell>
          <cell r="AM328">
            <v>833</v>
          </cell>
        </row>
        <row r="329">
          <cell r="A329">
            <v>322</v>
          </cell>
          <cell r="B329" t="str">
            <v>Wychavon</v>
          </cell>
          <cell r="C329" t="str">
            <v>E1838</v>
          </cell>
          <cell r="D329">
            <v>1655191.07</v>
          </cell>
          <cell r="E329">
            <v>29068.959999999999</v>
          </cell>
          <cell r="F329">
            <v>61883.11</v>
          </cell>
          <cell r="G329">
            <v>14338.77</v>
          </cell>
          <cell r="H329">
            <v>1527058.59</v>
          </cell>
          <cell r="I329">
            <v>48591.68</v>
          </cell>
          <cell r="J329">
            <v>49292.19</v>
          </cell>
          <cell r="K329">
            <v>1715.48</v>
          </cell>
          <cell r="L329">
            <v>42491.86</v>
          </cell>
          <cell r="M329">
            <v>6865.19</v>
          </cell>
          <cell r="N329">
            <v>660630.56999999995</v>
          </cell>
          <cell r="O329">
            <v>2396008.62</v>
          </cell>
          <cell r="P329">
            <v>0.9</v>
          </cell>
          <cell r="Q329">
            <v>1</v>
          </cell>
          <cell r="S329">
            <v>4511</v>
          </cell>
          <cell r="T329">
            <v>98486417</v>
          </cell>
          <cell r="U329">
            <v>375741.2</v>
          </cell>
          <cell r="X329">
            <v>236</v>
          </cell>
          <cell r="Y329">
            <v>14</v>
          </cell>
          <cell r="Z329">
            <v>39</v>
          </cell>
          <cell r="AA329">
            <v>3</v>
          </cell>
          <cell r="AB329">
            <v>608</v>
          </cell>
          <cell r="AC329">
            <v>210</v>
          </cell>
          <cell r="AD329">
            <v>30</v>
          </cell>
          <cell r="AE329">
            <v>14</v>
          </cell>
          <cell r="AF329">
            <v>33</v>
          </cell>
          <cell r="AG329">
            <v>21</v>
          </cell>
          <cell r="AH329">
            <v>0</v>
          </cell>
          <cell r="AI329">
            <v>2861</v>
          </cell>
          <cell r="AJ329">
            <v>1651</v>
          </cell>
          <cell r="AK329">
            <v>0</v>
          </cell>
          <cell r="AL329">
            <v>0</v>
          </cell>
          <cell r="AM329">
            <v>117</v>
          </cell>
        </row>
        <row r="330">
          <cell r="A330">
            <v>323</v>
          </cell>
          <cell r="B330" t="str">
            <v>Wycombe</v>
          </cell>
          <cell r="C330" t="str">
            <v>E0435</v>
          </cell>
          <cell r="D330">
            <v>3491209.83</v>
          </cell>
          <cell r="E330">
            <v>27588.89</v>
          </cell>
          <cell r="F330">
            <v>17761.349999999999</v>
          </cell>
          <cell r="G330">
            <v>0</v>
          </cell>
          <cell r="H330">
            <v>3277576</v>
          </cell>
          <cell r="I330">
            <v>33365.03</v>
          </cell>
          <cell r="J330">
            <v>316275.01500000001</v>
          </cell>
          <cell r="K330">
            <v>531.85</v>
          </cell>
          <cell r="L330">
            <v>13321.01</v>
          </cell>
          <cell r="M330">
            <v>16450.599999999999</v>
          </cell>
          <cell r="N330">
            <v>1246529.94</v>
          </cell>
          <cell r="O330">
            <v>1711315.22</v>
          </cell>
          <cell r="P330">
            <v>0.9</v>
          </cell>
          <cell r="Q330">
            <v>1.0674999999999999</v>
          </cell>
          <cell r="S330">
            <v>5071</v>
          </cell>
          <cell r="T330">
            <v>175694271</v>
          </cell>
          <cell r="U330">
            <v>682041.15</v>
          </cell>
          <cell r="X330">
            <v>234</v>
          </cell>
          <cell r="Y330">
            <v>8</v>
          </cell>
          <cell r="Z330">
            <v>12</v>
          </cell>
          <cell r="AA330">
            <v>0</v>
          </cell>
          <cell r="AB330">
            <v>285</v>
          </cell>
          <cell r="AC330">
            <v>132</v>
          </cell>
          <cell r="AD330">
            <v>65</v>
          </cell>
          <cell r="AE330">
            <v>5</v>
          </cell>
          <cell r="AF330">
            <v>12</v>
          </cell>
          <cell r="AG330">
            <v>6</v>
          </cell>
          <cell r="AH330">
            <v>0</v>
          </cell>
          <cell r="AI330">
            <v>2474</v>
          </cell>
          <cell r="AJ330">
            <v>969</v>
          </cell>
          <cell r="AK330">
            <v>552</v>
          </cell>
          <cell r="AL330">
            <v>417</v>
          </cell>
          <cell r="AM330">
            <v>1578</v>
          </cell>
        </row>
        <row r="331">
          <cell r="A331">
            <v>324</v>
          </cell>
          <cell r="B331" t="str">
            <v>Wyre</v>
          </cell>
          <cell r="C331" t="str">
            <v>E2344</v>
          </cell>
          <cell r="D331">
            <v>1541234.42</v>
          </cell>
          <cell r="E331">
            <v>19862.16</v>
          </cell>
          <cell r="F331">
            <v>4805.71</v>
          </cell>
          <cell r="G331">
            <v>0</v>
          </cell>
          <cell r="H331">
            <v>821202.41</v>
          </cell>
          <cell r="I331">
            <v>766.005</v>
          </cell>
          <cell r="J331">
            <v>56283.614999999998</v>
          </cell>
          <cell r="K331">
            <v>0</v>
          </cell>
          <cell r="L331">
            <v>28.4025</v>
          </cell>
          <cell r="M331">
            <v>0</v>
          </cell>
          <cell r="N331">
            <v>412218.34</v>
          </cell>
          <cell r="O331">
            <v>2351240.23</v>
          </cell>
          <cell r="P331">
            <v>0.9</v>
          </cell>
          <cell r="Q331">
            <v>1</v>
          </cell>
          <cell r="S331">
            <v>3831</v>
          </cell>
          <cell r="T331">
            <v>67157881</v>
          </cell>
          <cell r="U331">
            <v>236756.08</v>
          </cell>
          <cell r="X331">
            <v>157</v>
          </cell>
          <cell r="Y331">
            <v>5</v>
          </cell>
          <cell r="Z331">
            <v>7</v>
          </cell>
          <cell r="AA331">
            <v>0</v>
          </cell>
          <cell r="AB331">
            <v>396</v>
          </cell>
          <cell r="AC331">
            <v>2</v>
          </cell>
          <cell r="AD331">
            <v>49</v>
          </cell>
          <cell r="AE331">
            <v>5</v>
          </cell>
          <cell r="AF331">
            <v>1</v>
          </cell>
          <cell r="AG331">
            <v>0</v>
          </cell>
          <cell r="AH331">
            <v>0</v>
          </cell>
          <cell r="AI331">
            <v>1129</v>
          </cell>
          <cell r="AJ331">
            <v>1671</v>
          </cell>
          <cell r="AK331">
            <v>1161</v>
          </cell>
          <cell r="AL331">
            <v>510</v>
          </cell>
          <cell r="AM331">
            <v>1039</v>
          </cell>
        </row>
        <row r="332">
          <cell r="A332">
            <v>325</v>
          </cell>
          <cell r="B332" t="str">
            <v>Wyre Forest</v>
          </cell>
          <cell r="C332" t="str">
            <v>E1839</v>
          </cell>
          <cell r="D332">
            <v>1268672.51</v>
          </cell>
          <cell r="E332">
            <v>37894.92</v>
          </cell>
          <cell r="F332">
            <v>10296.33</v>
          </cell>
          <cell r="G332">
            <v>10438.92</v>
          </cell>
          <cell r="H332">
            <v>1045090.55</v>
          </cell>
          <cell r="I332">
            <v>25726.45</v>
          </cell>
          <cell r="J332">
            <v>193473.52</v>
          </cell>
          <cell r="K332">
            <v>0</v>
          </cell>
          <cell r="L332">
            <v>541.01</v>
          </cell>
          <cell r="M332">
            <v>0</v>
          </cell>
          <cell r="N332">
            <v>467120.24</v>
          </cell>
          <cell r="O332">
            <v>1658411.47</v>
          </cell>
          <cell r="P332">
            <v>0.9</v>
          </cell>
          <cell r="Q332">
            <v>1</v>
          </cell>
          <cell r="S332">
            <v>3275</v>
          </cell>
          <cell r="T332">
            <v>73989160</v>
          </cell>
          <cell r="U332">
            <v>274036.73</v>
          </cell>
          <cell r="X332">
            <v>165</v>
          </cell>
          <cell r="Y332">
            <v>15</v>
          </cell>
          <cell r="Z332">
            <v>8</v>
          </cell>
          <cell r="AA332">
            <v>0</v>
          </cell>
          <cell r="AB332">
            <v>319</v>
          </cell>
          <cell r="AC332">
            <v>105</v>
          </cell>
          <cell r="AD332">
            <v>64</v>
          </cell>
          <cell r="AE332">
            <v>0</v>
          </cell>
          <cell r="AF332">
            <v>1</v>
          </cell>
          <cell r="AG332">
            <v>0</v>
          </cell>
          <cell r="AH332">
            <v>0</v>
          </cell>
          <cell r="AI332">
            <v>2195</v>
          </cell>
          <cell r="AJ332">
            <v>957</v>
          </cell>
          <cell r="AK332">
            <v>614</v>
          </cell>
          <cell r="AL332">
            <v>343</v>
          </cell>
          <cell r="AM332">
            <v>65</v>
          </cell>
        </row>
        <row r="333">
          <cell r="A333">
            <v>326</v>
          </cell>
          <cell r="B333" t="str">
            <v>York</v>
          </cell>
          <cell r="C333" t="str">
            <v>E2701</v>
          </cell>
          <cell r="D333">
            <v>7755700</v>
          </cell>
          <cell r="E333">
            <v>127615</v>
          </cell>
          <cell r="F333">
            <v>14925</v>
          </cell>
          <cell r="G333">
            <v>150000</v>
          </cell>
          <cell r="H333">
            <v>3081216</v>
          </cell>
          <cell r="I333">
            <v>34350</v>
          </cell>
          <cell r="J333">
            <v>22890</v>
          </cell>
          <cell r="K333">
            <v>5390</v>
          </cell>
          <cell r="L333">
            <v>5165</v>
          </cell>
          <cell r="M333">
            <v>30785</v>
          </cell>
          <cell r="N333">
            <v>1776502</v>
          </cell>
          <cell r="O333">
            <v>2359650</v>
          </cell>
          <cell r="P333">
            <v>1.3</v>
          </cell>
          <cell r="Q333">
            <v>1</v>
          </cell>
          <cell r="S333">
            <v>6247</v>
          </cell>
          <cell r="T333">
            <v>243125205</v>
          </cell>
          <cell r="U333">
            <v>1028222.35</v>
          </cell>
          <cell r="X333">
            <v>369</v>
          </cell>
          <cell r="Y333">
            <v>24</v>
          </cell>
          <cell r="Z333">
            <v>12</v>
          </cell>
          <cell r="AA333">
            <v>2</v>
          </cell>
          <cell r="AB333">
            <v>642</v>
          </cell>
          <cell r="AC333">
            <v>89</v>
          </cell>
          <cell r="AD333">
            <v>10</v>
          </cell>
          <cell r="AE333">
            <v>22</v>
          </cell>
          <cell r="AF333">
            <v>8</v>
          </cell>
          <cell r="AG333">
            <v>16</v>
          </cell>
          <cell r="AH333">
            <v>0</v>
          </cell>
          <cell r="AI333">
            <v>4687</v>
          </cell>
          <cell r="AJ333">
            <v>1358</v>
          </cell>
          <cell r="AK333">
            <v>768</v>
          </cell>
          <cell r="AL333">
            <v>590</v>
          </cell>
          <cell r="AM333">
            <v>144</v>
          </cell>
        </row>
        <row r="334">
          <cell r="A334">
            <v>327</v>
          </cell>
          <cell r="B334" t="str">
            <v>ZZZZ</v>
          </cell>
          <cell r="C334" t="str">
            <v>EZZZZ</v>
          </cell>
        </row>
      </sheetData>
      <sheetData sheetId="7">
        <row r="2">
          <cell r="E2">
            <v>0.5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ings to Update"/>
      <sheetName val="Includes HRA"/>
      <sheetName val="20"/>
      <sheetName val="21"/>
      <sheetName val="22"/>
      <sheetName val="16 - in £000"/>
      <sheetName val="16- in £"/>
      <sheetName val="Summary"/>
      <sheetName val="16- in Penny"/>
      <sheetName val="Profit Or Loss"/>
      <sheetName val="Rev - Profit Or Loss"/>
      <sheetName val="RCCO"/>
      <sheetName val="Central Services to the public"/>
      <sheetName val="Cultural Env Plan-new"/>
      <sheetName val="EYL-New"/>
      <sheetName val="Housing-New"/>
      <sheetName val="SS-New"/>
      <sheetName val="Court&amp;Pro -New"/>
      <sheetName val="Corp&amp;Demo Core"/>
      <sheetName val="Unapp OH"/>
      <sheetName val="Pre&amp;Lev"/>
      <sheetName val="Trading AC-OFA"/>
      <sheetName val="Interest Payable"/>
      <sheetName val="Contribn to Hsg Cap - PRA"/>
      <sheetName val="Inter income"/>
      <sheetName val="Pension "/>
      <sheetName val="HRA Surplus"/>
      <sheetName val="HWT- New"/>
      <sheetName val="Earmarked Reserves"/>
      <sheetName val="Contribn from Hsg Cap"/>
      <sheetName val="Contr from Pension Reserve"/>
      <sheetName val="Principal Payment to leases"/>
      <sheetName val="Contr from Capital Financ res"/>
      <sheetName val="Finance Lease"/>
      <sheetName val="Early Losses"/>
      <sheetName val="Financing- "/>
      <sheetName val="Double Count"/>
      <sheetName val="Sch Bal"/>
      <sheetName val="Dbase"/>
      <sheetName val="Dbase-Core-fsg"/>
      <sheetName val="2B"/>
      <sheetName val="By BV Structure"/>
      <sheetName val="Vari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2">
          <cell r="B2">
            <v>10021</v>
          </cell>
          <cell r="C2" t="str">
            <v>Warnford Industrial Estate *PH</v>
          </cell>
          <cell r="F2">
            <v>312772.23</v>
          </cell>
          <cell r="G2">
            <v>-323120.43</v>
          </cell>
          <cell r="H2">
            <v>-10348.200000000012</v>
          </cell>
        </row>
        <row r="3">
          <cell r="B3">
            <v>10022</v>
          </cell>
          <cell r="C3" t="str">
            <v>Uxbridge Industrial Estate *PH</v>
          </cell>
          <cell r="F3">
            <v>0</v>
          </cell>
          <cell r="G3">
            <v>-1</v>
          </cell>
          <cell r="H3">
            <v>-1</v>
          </cell>
        </row>
        <row r="4">
          <cell r="B4">
            <v>10023</v>
          </cell>
          <cell r="C4" t="str">
            <v>1st Floor Offices, 192 High Street</v>
          </cell>
          <cell r="F4">
            <v>30074.04</v>
          </cell>
          <cell r="G4">
            <v>-30600</v>
          </cell>
          <cell r="H4">
            <v>-525.95999999999913</v>
          </cell>
        </row>
        <row r="5">
          <cell r="B5">
            <v>10031</v>
          </cell>
          <cell r="C5" t="str">
            <v>Uxbridge Market *PH</v>
          </cell>
          <cell r="F5">
            <v>64084.7</v>
          </cell>
          <cell r="G5">
            <v>-237265</v>
          </cell>
          <cell r="H5">
            <v>-173180.3</v>
          </cell>
        </row>
        <row r="6">
          <cell r="B6">
            <v>10041</v>
          </cell>
          <cell r="C6" t="str">
            <v>General Corporation Estates *PH</v>
          </cell>
          <cell r="F6">
            <v>923994.54</v>
          </cell>
          <cell r="G6">
            <v>-500705.15</v>
          </cell>
          <cell r="H6">
            <v>423289.39</v>
          </cell>
        </row>
        <row r="7">
          <cell r="B7">
            <v>10042</v>
          </cell>
          <cell r="C7" t="str">
            <v>Property Disposal Expenses *PH</v>
          </cell>
          <cell r="F7">
            <v>4851.7700000000004</v>
          </cell>
          <cell r="G7">
            <v>0</v>
          </cell>
          <cell r="H7">
            <v>4851.7700000000004</v>
          </cell>
        </row>
        <row r="8">
          <cell r="B8">
            <v>10047</v>
          </cell>
          <cell r="C8" t="str">
            <v>Buildings Maint Programme *MN</v>
          </cell>
          <cell r="F8">
            <v>76260</v>
          </cell>
          <cell r="G8">
            <v>0</v>
          </cell>
          <cell r="H8">
            <v>76260</v>
          </cell>
        </row>
        <row r="9">
          <cell r="B9">
            <v>10048</v>
          </cell>
          <cell r="C9" t="str">
            <v>Buildings Maint Contingency *MN</v>
          </cell>
          <cell r="F9">
            <v>36568.71</v>
          </cell>
          <cell r="G9">
            <v>0</v>
          </cell>
          <cell r="H9">
            <v>36568.71</v>
          </cell>
        </row>
        <row r="10">
          <cell r="B10">
            <v>10053</v>
          </cell>
          <cell r="C10" t="str">
            <v>Other Green Belt Management *PH</v>
          </cell>
          <cell r="F10">
            <v>103620.37</v>
          </cell>
          <cell r="G10">
            <v>-236250.09</v>
          </cell>
          <cell r="H10">
            <v>-132629.72</v>
          </cell>
        </row>
        <row r="11">
          <cell r="B11">
            <v>11601</v>
          </cell>
          <cell r="C11" t="str">
            <v>C Exec Directorate *BM</v>
          </cell>
          <cell r="F11">
            <v>526583.41</v>
          </cell>
          <cell r="G11">
            <v>0</v>
          </cell>
          <cell r="H11">
            <v>526583.41</v>
          </cell>
        </row>
        <row r="12">
          <cell r="B12">
            <v>11602</v>
          </cell>
          <cell r="C12" t="str">
            <v>C Exec Administration *BM</v>
          </cell>
          <cell r="F12">
            <v>101132.39</v>
          </cell>
          <cell r="G12">
            <v>0</v>
          </cell>
          <cell r="H12">
            <v>101132.39</v>
          </cell>
        </row>
        <row r="13">
          <cell r="B13">
            <v>11604</v>
          </cell>
          <cell r="C13" t="str">
            <v>C Exec Corporate Management *BM</v>
          </cell>
          <cell r="F13">
            <v>1316581.1000000001</v>
          </cell>
          <cell r="G13">
            <v>-77010</v>
          </cell>
          <cell r="H13">
            <v>1239571.1000000001</v>
          </cell>
        </row>
        <row r="14">
          <cell r="B14">
            <v>11605</v>
          </cell>
          <cell r="C14" t="str">
            <v>C Exec Policy *BM</v>
          </cell>
          <cell r="F14">
            <v>602253.09</v>
          </cell>
          <cell r="G14">
            <v>-684.13</v>
          </cell>
          <cell r="H14">
            <v>601568.96</v>
          </cell>
        </row>
        <row r="15">
          <cell r="B15">
            <v>11606</v>
          </cell>
          <cell r="C15" t="str">
            <v>Democratic Central Services *DBROU</v>
          </cell>
          <cell r="F15">
            <v>321678.90999999997</v>
          </cell>
          <cell r="G15">
            <v>-12400</v>
          </cell>
          <cell r="H15">
            <v>309278.90999999997</v>
          </cell>
        </row>
        <row r="16">
          <cell r="B16">
            <v>11607</v>
          </cell>
          <cell r="C16" t="str">
            <v>Liberal Democrat Group *DBROUGH</v>
          </cell>
          <cell r="F16">
            <v>59584.81</v>
          </cell>
          <cell r="G16">
            <v>0</v>
          </cell>
          <cell r="H16">
            <v>59584.81</v>
          </cell>
        </row>
        <row r="17">
          <cell r="B17">
            <v>11608</v>
          </cell>
          <cell r="C17" t="str">
            <v>Conservative Group *DBROUGH</v>
          </cell>
          <cell r="F17">
            <v>1049778.82</v>
          </cell>
          <cell r="G17">
            <v>0</v>
          </cell>
          <cell r="H17">
            <v>1049778.82</v>
          </cell>
        </row>
        <row r="18">
          <cell r="B18">
            <v>11609</v>
          </cell>
          <cell r="C18" t="str">
            <v>Labour Group *DBROUGH</v>
          </cell>
          <cell r="F18">
            <v>383593.2</v>
          </cell>
          <cell r="G18">
            <v>0</v>
          </cell>
          <cell r="H18">
            <v>383593.2</v>
          </cell>
        </row>
        <row r="19">
          <cell r="B19">
            <v>11610</v>
          </cell>
          <cell r="C19" t="str">
            <v>Mayor'S Office *DBROUGH</v>
          </cell>
          <cell r="F19">
            <v>233993.67</v>
          </cell>
          <cell r="G19">
            <v>0</v>
          </cell>
          <cell r="H19">
            <v>233993.67</v>
          </cell>
        </row>
        <row r="20">
          <cell r="B20">
            <v>11611</v>
          </cell>
          <cell r="C20" t="str">
            <v>Registration Of Electors *DBROUGH</v>
          </cell>
          <cell r="F20">
            <v>272960.01</v>
          </cell>
          <cell r="G20">
            <v>-5530.6</v>
          </cell>
          <cell r="H20">
            <v>267429.41000000003</v>
          </cell>
        </row>
        <row r="21">
          <cell r="B21">
            <v>11612</v>
          </cell>
          <cell r="C21" t="str">
            <v>Council Elections *DBROUGH</v>
          </cell>
          <cell r="F21">
            <v>379907.59</v>
          </cell>
          <cell r="G21">
            <v>-90597.72</v>
          </cell>
          <cell r="H21">
            <v>289309.87</v>
          </cell>
        </row>
        <row r="22">
          <cell r="B22">
            <v>11613</v>
          </cell>
          <cell r="C22" t="str">
            <v>Registration Of B,D &amp; M's *DBROUGH</v>
          </cell>
          <cell r="F22">
            <v>405539.27</v>
          </cell>
          <cell r="G22">
            <v>-354477.04</v>
          </cell>
          <cell r="H22">
            <v>51062.23000000004</v>
          </cell>
        </row>
        <row r="23">
          <cell r="B23">
            <v>11614</v>
          </cell>
          <cell r="C23" t="str">
            <v>Hillingdon Community Trust (BAA) *</v>
          </cell>
          <cell r="F23">
            <v>4668.6000000000004</v>
          </cell>
          <cell r="G23">
            <v>-3738.6</v>
          </cell>
          <cell r="H23">
            <v>930.00000000000045</v>
          </cell>
        </row>
        <row r="24">
          <cell r="B24">
            <v>11621</v>
          </cell>
          <cell r="C24" t="str">
            <v>Legal - Corporate Team *EX</v>
          </cell>
          <cell r="F24">
            <v>542314.43000000005</v>
          </cell>
          <cell r="G24">
            <v>-65236.28</v>
          </cell>
          <cell r="H24">
            <v>477078.15</v>
          </cell>
        </row>
        <row r="25">
          <cell r="B25">
            <v>11626</v>
          </cell>
          <cell r="C25" t="str">
            <v>Community Resources Unit *BM</v>
          </cell>
          <cell r="F25">
            <v>185572.17</v>
          </cell>
          <cell r="G25">
            <v>-27500</v>
          </cell>
          <cell r="H25">
            <v>158072.17000000001</v>
          </cell>
        </row>
        <row r="26">
          <cell r="B26">
            <v>11629</v>
          </cell>
          <cell r="C26" t="str">
            <v>Council Chamber *DBROUGH</v>
          </cell>
          <cell r="F26">
            <v>123830</v>
          </cell>
          <cell r="G26">
            <v>0</v>
          </cell>
          <cell r="H26">
            <v>123830</v>
          </cell>
        </row>
        <row r="27">
          <cell r="B27">
            <v>11632</v>
          </cell>
          <cell r="C27" t="str">
            <v>Democratic Management Costs *DBROU</v>
          </cell>
          <cell r="F27">
            <v>24533.99</v>
          </cell>
          <cell r="G27">
            <v>0</v>
          </cell>
          <cell r="H27">
            <v>24533.99</v>
          </cell>
        </row>
        <row r="28">
          <cell r="B28">
            <v>11635</v>
          </cell>
          <cell r="C28" t="str">
            <v>External Funding Officer *BM</v>
          </cell>
          <cell r="F28">
            <v>53608.63</v>
          </cell>
          <cell r="G28">
            <v>0</v>
          </cell>
          <cell r="H28">
            <v>53608.63</v>
          </cell>
        </row>
        <row r="29">
          <cell r="B29">
            <v>11636</v>
          </cell>
          <cell r="C29" t="str">
            <v>Police &amp; Community Consult Grp *DB</v>
          </cell>
          <cell r="F29">
            <v>28181.52</v>
          </cell>
          <cell r="G29">
            <v>-22702.67</v>
          </cell>
          <cell r="H29">
            <v>5478.8500000000022</v>
          </cell>
        </row>
        <row r="30">
          <cell r="B30">
            <v>11637</v>
          </cell>
          <cell r="C30" t="str">
            <v>LDA Square *BM</v>
          </cell>
          <cell r="F30">
            <v>374</v>
          </cell>
          <cell r="G30">
            <v>0</v>
          </cell>
          <cell r="H30">
            <v>374</v>
          </cell>
        </row>
        <row r="31">
          <cell r="B31">
            <v>11640</v>
          </cell>
          <cell r="C31" t="str">
            <v>Uxbridge Town Ctr Lbh Contrib *BM</v>
          </cell>
          <cell r="F31">
            <v>131884.67000000001</v>
          </cell>
          <cell r="G31">
            <v>-89585.67</v>
          </cell>
          <cell r="H31">
            <v>42299.000000000015</v>
          </cell>
        </row>
        <row r="32">
          <cell r="B32">
            <v>11648</v>
          </cell>
          <cell r="C32" t="str">
            <v>Corporate Initiatives *BM</v>
          </cell>
          <cell r="F32">
            <v>15235.46</v>
          </cell>
          <cell r="G32">
            <v>0</v>
          </cell>
          <cell r="H32">
            <v>15235.46</v>
          </cell>
        </row>
        <row r="33">
          <cell r="B33">
            <v>11652</v>
          </cell>
          <cell r="C33" t="str">
            <v>Cranford Womens Project *BM</v>
          </cell>
          <cell r="F33">
            <v>1280</v>
          </cell>
          <cell r="G33">
            <v>0</v>
          </cell>
          <cell r="H33">
            <v>1280</v>
          </cell>
        </row>
        <row r="34">
          <cell r="B34">
            <v>11653</v>
          </cell>
          <cell r="C34" t="str">
            <v>Community Safety *DBROUGH</v>
          </cell>
          <cell r="F34">
            <v>290426.73</v>
          </cell>
          <cell r="G34">
            <v>0</v>
          </cell>
          <cell r="H34">
            <v>290426.73</v>
          </cell>
        </row>
        <row r="35">
          <cell r="B35">
            <v>11655</v>
          </cell>
          <cell r="C35" t="str">
            <v>CAD BSC *DBROUGH</v>
          </cell>
          <cell r="F35">
            <v>193202.47</v>
          </cell>
          <cell r="G35">
            <v>-364800.52</v>
          </cell>
          <cell r="H35">
            <v>-171598.05000000002</v>
          </cell>
        </row>
        <row r="36">
          <cell r="B36">
            <v>11657</v>
          </cell>
          <cell r="C36" t="str">
            <v>Independent Committee Members *DBR</v>
          </cell>
          <cell r="F36">
            <v>2692.85</v>
          </cell>
          <cell r="G36">
            <v>0</v>
          </cell>
          <cell r="H36">
            <v>2692.85</v>
          </cell>
        </row>
        <row r="37">
          <cell r="B37">
            <v>11665</v>
          </cell>
          <cell r="C37" t="str">
            <v>Lay Visitors Panel *DBROUGH</v>
          </cell>
          <cell r="F37">
            <v>4279.8</v>
          </cell>
          <cell r="G37">
            <v>-3951.77</v>
          </cell>
          <cell r="H37">
            <v>328.0300000000002</v>
          </cell>
        </row>
        <row r="38">
          <cell r="B38">
            <v>11667</v>
          </cell>
          <cell r="C38" t="str">
            <v>Safer Schools Officers *D BROUGH</v>
          </cell>
          <cell r="F38">
            <v>169654.83</v>
          </cell>
          <cell r="G38">
            <v>0</v>
          </cell>
          <cell r="H38">
            <v>169654.83</v>
          </cell>
        </row>
        <row r="39">
          <cell r="B39">
            <v>11668</v>
          </cell>
          <cell r="C39" t="str">
            <v>Cabinet Office *DBROUGH</v>
          </cell>
          <cell r="F39">
            <v>207799.49</v>
          </cell>
          <cell r="G39">
            <v>-22290</v>
          </cell>
          <cell r="H39">
            <v>185509.49</v>
          </cell>
        </row>
        <row r="40">
          <cell r="B40">
            <v>11669</v>
          </cell>
          <cell r="C40" t="str">
            <v>Scrutiny Team *DBROUGH</v>
          </cell>
          <cell r="F40">
            <v>327753.36</v>
          </cell>
          <cell r="G40">
            <v>-24060</v>
          </cell>
          <cell r="H40">
            <v>303693.36</v>
          </cell>
        </row>
        <row r="41">
          <cell r="B41">
            <v>11673</v>
          </cell>
          <cell r="C41" t="str">
            <v>Hayes Town Centre Man Project *BM</v>
          </cell>
          <cell r="F41">
            <v>91687.09</v>
          </cell>
          <cell r="G41">
            <v>-25147.58</v>
          </cell>
          <cell r="H41">
            <v>66539.509999999995</v>
          </cell>
        </row>
        <row r="42">
          <cell r="B42">
            <v>11680</v>
          </cell>
          <cell r="C42" t="str">
            <v>C.Exec Connecting Communities *BM</v>
          </cell>
          <cell r="F42">
            <v>69114.94</v>
          </cell>
          <cell r="G42">
            <v>0</v>
          </cell>
          <cell r="H42">
            <v>69114.94</v>
          </cell>
        </row>
        <row r="43">
          <cell r="B43">
            <v>11684</v>
          </cell>
          <cell r="C43" t="str">
            <v>Customer Access HIP Project *BM</v>
          </cell>
          <cell r="F43">
            <v>37324.47</v>
          </cell>
          <cell r="G43">
            <v>0</v>
          </cell>
          <cell r="H43">
            <v>37324.47</v>
          </cell>
        </row>
        <row r="44">
          <cell r="B44">
            <v>11685</v>
          </cell>
          <cell r="C44" t="str">
            <v>HIP Comm Leadership Contingency *B</v>
          </cell>
          <cell r="F44">
            <v>107878.12</v>
          </cell>
          <cell r="G44">
            <v>0</v>
          </cell>
          <cell r="H44">
            <v>107878.12</v>
          </cell>
        </row>
        <row r="45">
          <cell r="B45">
            <v>11690</v>
          </cell>
          <cell r="C45" t="str">
            <v>Increased Measures against ASB *DB</v>
          </cell>
          <cell r="F45">
            <v>136258.13</v>
          </cell>
          <cell r="G45">
            <v>0</v>
          </cell>
          <cell r="H45">
            <v>136258.13</v>
          </cell>
        </row>
        <row r="46">
          <cell r="B46">
            <v>11691</v>
          </cell>
          <cell r="C46" t="str">
            <v>Designated Independent Person *BM</v>
          </cell>
          <cell r="F46">
            <v>184315.14</v>
          </cell>
          <cell r="G46">
            <v>0</v>
          </cell>
          <cell r="H46">
            <v>184315.14</v>
          </cell>
        </row>
        <row r="47">
          <cell r="B47">
            <v>11698</v>
          </cell>
          <cell r="C47" t="str">
            <v>Council Restructure *BM</v>
          </cell>
          <cell r="F47">
            <v>484307.85</v>
          </cell>
          <cell r="G47">
            <v>0</v>
          </cell>
          <cell r="H47">
            <v>484307.85</v>
          </cell>
        </row>
        <row r="48">
          <cell r="B48">
            <v>11699</v>
          </cell>
          <cell r="C48" t="str">
            <v>Hillingdon Urban Arts Project *DBR</v>
          </cell>
          <cell r="F48">
            <v>4597.97</v>
          </cell>
          <cell r="G48">
            <v>-5000</v>
          </cell>
          <cell r="H48">
            <v>-402.02999999999975</v>
          </cell>
        </row>
        <row r="49">
          <cell r="B49">
            <v>11700</v>
          </cell>
          <cell r="C49" t="str">
            <v>Police Special Service Agreements</v>
          </cell>
          <cell r="F49">
            <v>44475</v>
          </cell>
          <cell r="G49">
            <v>0</v>
          </cell>
          <cell r="H49">
            <v>44475</v>
          </cell>
        </row>
        <row r="50">
          <cell r="B50">
            <v>11701</v>
          </cell>
          <cell r="C50" t="str">
            <v>Tackling Motor Vehicle Crime *D BR</v>
          </cell>
          <cell r="F50">
            <v>1000</v>
          </cell>
          <cell r="G50">
            <v>-1000</v>
          </cell>
          <cell r="H50">
            <v>0</v>
          </cell>
        </row>
        <row r="51">
          <cell r="B51">
            <v>11711</v>
          </cell>
          <cell r="C51" t="str">
            <v>Partnership Office *BM</v>
          </cell>
          <cell r="F51">
            <v>43837.39</v>
          </cell>
          <cell r="G51">
            <v>0</v>
          </cell>
          <cell r="H51">
            <v>43837.39</v>
          </cell>
        </row>
        <row r="52">
          <cell r="B52">
            <v>11712</v>
          </cell>
          <cell r="C52" t="str">
            <v>Hillingdon Business Studios *BM</v>
          </cell>
          <cell r="F52">
            <v>39002.5</v>
          </cell>
          <cell r="G52">
            <v>-39002.5</v>
          </cell>
          <cell r="H52">
            <v>0</v>
          </cell>
        </row>
        <row r="53">
          <cell r="B53">
            <v>11814</v>
          </cell>
          <cell r="C53" t="str">
            <v>Old Oak Farm *PH</v>
          </cell>
          <cell r="F53">
            <v>4959.53</v>
          </cell>
          <cell r="G53">
            <v>-3000</v>
          </cell>
          <cell r="H53">
            <v>1959.5299999999997</v>
          </cell>
        </row>
        <row r="54">
          <cell r="B54">
            <v>11815</v>
          </cell>
          <cell r="C54" t="str">
            <v>Darren House *PH</v>
          </cell>
          <cell r="F54">
            <v>39300</v>
          </cell>
          <cell r="G54">
            <v>0</v>
          </cell>
          <cell r="H54">
            <v>39300</v>
          </cell>
        </row>
        <row r="55">
          <cell r="B55">
            <v>12201</v>
          </cell>
          <cell r="C55" t="str">
            <v>Legal Services Miscellaneous *EX</v>
          </cell>
          <cell r="F55">
            <v>15787.57</v>
          </cell>
          <cell r="G55">
            <v>-2628369.46</v>
          </cell>
          <cell r="H55">
            <v>-2612581.89</v>
          </cell>
        </row>
        <row r="56">
          <cell r="B56">
            <v>12202</v>
          </cell>
          <cell r="C56" t="str">
            <v>Legal Services External Income *EX</v>
          </cell>
          <cell r="F56">
            <v>185.5</v>
          </cell>
          <cell r="G56">
            <v>-123622.76</v>
          </cell>
          <cell r="H56">
            <v>-123437.26</v>
          </cell>
        </row>
        <row r="57">
          <cell r="B57">
            <v>12207</v>
          </cell>
          <cell r="C57" t="str">
            <v>Legal - Housing Litigation Team *E</v>
          </cell>
          <cell r="F57">
            <v>492886.35</v>
          </cell>
          <cell r="G57">
            <v>-107560.85</v>
          </cell>
          <cell r="H57">
            <v>385325.5</v>
          </cell>
        </row>
        <row r="58">
          <cell r="B58">
            <v>12208</v>
          </cell>
          <cell r="C58" t="str">
            <v>Legal - EYL Team *EX</v>
          </cell>
          <cell r="F58">
            <v>130702.3</v>
          </cell>
          <cell r="G58">
            <v>-60620.04</v>
          </cell>
          <cell r="H58">
            <v>70082.260000000009</v>
          </cell>
        </row>
        <row r="59">
          <cell r="B59">
            <v>12209</v>
          </cell>
          <cell r="C59" t="str">
            <v>Legal - Social Services Team *EX</v>
          </cell>
          <cell r="F59">
            <v>891601.12</v>
          </cell>
          <cell r="G59">
            <v>-455113.34</v>
          </cell>
          <cell r="H59">
            <v>436487.77999999997</v>
          </cell>
        </row>
        <row r="60">
          <cell r="B60">
            <v>12210</v>
          </cell>
          <cell r="C60" t="str">
            <v>Legal - Finance Disbursements *EX</v>
          </cell>
          <cell r="F60">
            <v>120.36</v>
          </cell>
          <cell r="G60">
            <v>0</v>
          </cell>
          <cell r="H60">
            <v>120.36</v>
          </cell>
        </row>
        <row r="61">
          <cell r="B61">
            <v>12211</v>
          </cell>
          <cell r="C61" t="str">
            <v>Legal - Hillingdon Homes Disbursem</v>
          </cell>
          <cell r="F61">
            <v>16506.88</v>
          </cell>
          <cell r="G61">
            <v>-16045.32</v>
          </cell>
          <cell r="H61">
            <v>461.56000000000131</v>
          </cell>
        </row>
        <row r="62">
          <cell r="B62">
            <v>12212</v>
          </cell>
          <cell r="C62" t="str">
            <v>Legal - Data Protection Team *EX</v>
          </cell>
          <cell r="F62">
            <v>52168.92</v>
          </cell>
          <cell r="G62">
            <v>0</v>
          </cell>
          <cell r="H62">
            <v>52168.92</v>
          </cell>
        </row>
        <row r="63">
          <cell r="B63">
            <v>12213</v>
          </cell>
          <cell r="C63" t="str">
            <v>Legal - Conveyancing Team *EX</v>
          </cell>
          <cell r="F63">
            <v>178950.65</v>
          </cell>
          <cell r="G63">
            <v>-3003.16</v>
          </cell>
          <cell r="H63">
            <v>175947.49</v>
          </cell>
        </row>
        <row r="64">
          <cell r="B64">
            <v>12214</v>
          </cell>
          <cell r="C64" t="str">
            <v>Legal - Environment Team *EX</v>
          </cell>
          <cell r="F64">
            <v>400856.41</v>
          </cell>
          <cell r="G64">
            <v>-49392.93</v>
          </cell>
          <cell r="H64">
            <v>351463.48</v>
          </cell>
        </row>
        <row r="65">
          <cell r="B65">
            <v>12215</v>
          </cell>
          <cell r="C65" t="str">
            <v>Legal Support *EX</v>
          </cell>
          <cell r="F65">
            <v>337113.44</v>
          </cell>
          <cell r="G65">
            <v>0</v>
          </cell>
          <cell r="H65">
            <v>337113.44</v>
          </cell>
        </row>
        <row r="66">
          <cell r="B66">
            <v>12216</v>
          </cell>
          <cell r="C66" t="str">
            <v>Legal - Housing Debt Recovery Team</v>
          </cell>
          <cell r="F66">
            <v>63065.31</v>
          </cell>
          <cell r="G66">
            <v>0</v>
          </cell>
          <cell r="H66">
            <v>63065.31</v>
          </cell>
        </row>
        <row r="67">
          <cell r="B67">
            <v>12217</v>
          </cell>
          <cell r="C67" t="str">
            <v>Legal - Housing RTB Team *EX</v>
          </cell>
          <cell r="F67">
            <v>43722.16</v>
          </cell>
          <cell r="G67">
            <v>0</v>
          </cell>
          <cell r="H67">
            <v>43722.16</v>
          </cell>
        </row>
        <row r="68">
          <cell r="B68">
            <v>12218</v>
          </cell>
          <cell r="C68" t="str">
            <v>Legal - Housing Contracts Team *EX</v>
          </cell>
          <cell r="F68">
            <v>96291.71</v>
          </cell>
          <cell r="G68">
            <v>0</v>
          </cell>
          <cell r="H68">
            <v>96291.71</v>
          </cell>
        </row>
        <row r="69">
          <cell r="B69">
            <v>12219</v>
          </cell>
          <cell r="C69" t="str">
            <v>Legal - Employment Team *EX</v>
          </cell>
          <cell r="F69">
            <v>91344.67</v>
          </cell>
          <cell r="G69">
            <v>-26243.75</v>
          </cell>
          <cell r="H69">
            <v>65100.92</v>
          </cell>
        </row>
        <row r="70">
          <cell r="B70">
            <v>12529</v>
          </cell>
          <cell r="C70" t="str">
            <v>Groundwork - Working Community *SR</v>
          </cell>
          <cell r="F70">
            <v>44.34</v>
          </cell>
          <cell r="G70">
            <v>0</v>
          </cell>
          <cell r="H70">
            <v>44.34</v>
          </cell>
        </row>
        <row r="71">
          <cell r="B71">
            <v>12550</v>
          </cell>
          <cell r="C71" t="str">
            <v>Gill Sanches - Central Costs *SRB</v>
          </cell>
          <cell r="F71">
            <v>71379.19</v>
          </cell>
          <cell r="G71">
            <v>-27946</v>
          </cell>
          <cell r="H71">
            <v>43433.19</v>
          </cell>
        </row>
        <row r="72">
          <cell r="B72">
            <v>12553</v>
          </cell>
          <cell r="C72" t="str">
            <v>Unit 2 Phase II *SRB</v>
          </cell>
          <cell r="F72">
            <v>24</v>
          </cell>
          <cell r="G72">
            <v>0</v>
          </cell>
          <cell r="H72">
            <v>24</v>
          </cell>
        </row>
        <row r="73">
          <cell r="B73">
            <v>12701</v>
          </cell>
          <cell r="C73" t="str">
            <v>Finance Directorate *PW E</v>
          </cell>
          <cell r="F73">
            <v>387995.41</v>
          </cell>
          <cell r="G73">
            <v>-332.44</v>
          </cell>
          <cell r="H73">
            <v>387662.97</v>
          </cell>
        </row>
        <row r="74">
          <cell r="B74">
            <v>12711</v>
          </cell>
          <cell r="C74" t="str">
            <v>Corporate Accounting *PW B</v>
          </cell>
          <cell r="F74">
            <v>542158.04</v>
          </cell>
          <cell r="G74">
            <v>-26540</v>
          </cell>
          <cell r="H74">
            <v>515618.04000000004</v>
          </cell>
        </row>
        <row r="75">
          <cell r="B75">
            <v>12713</v>
          </cell>
          <cell r="C75" t="str">
            <v>Financial Planning *LW</v>
          </cell>
          <cell r="F75">
            <v>373187.65</v>
          </cell>
          <cell r="G75">
            <v>-16510</v>
          </cell>
          <cell r="H75">
            <v>356677.65</v>
          </cell>
        </row>
        <row r="76">
          <cell r="B76">
            <v>12728</v>
          </cell>
          <cell r="C76" t="str">
            <v>Bank Charges *PW F</v>
          </cell>
          <cell r="F76">
            <v>90002.4</v>
          </cell>
          <cell r="G76">
            <v>-13210</v>
          </cell>
          <cell r="H76">
            <v>76792.399999999994</v>
          </cell>
        </row>
        <row r="77">
          <cell r="B77">
            <v>12763</v>
          </cell>
          <cell r="C77" t="str">
            <v>Revenue Services *KC</v>
          </cell>
          <cell r="F77">
            <v>1018441.49</v>
          </cell>
          <cell r="G77">
            <v>-606916.75</v>
          </cell>
          <cell r="H77">
            <v>411524.74</v>
          </cell>
        </row>
        <row r="78">
          <cell r="B78">
            <v>12764</v>
          </cell>
          <cell r="C78" t="str">
            <v>Customer Contact Team *KC</v>
          </cell>
          <cell r="F78">
            <v>309883.58</v>
          </cell>
          <cell r="G78">
            <v>0</v>
          </cell>
          <cell r="H78">
            <v>309883.58</v>
          </cell>
        </row>
        <row r="79">
          <cell r="B79">
            <v>12766</v>
          </cell>
          <cell r="C79" t="str">
            <v>Reception &amp; Inspectors Team *KC</v>
          </cell>
          <cell r="F79">
            <v>218858.68</v>
          </cell>
          <cell r="G79">
            <v>0</v>
          </cell>
          <cell r="H79">
            <v>218858.68</v>
          </cell>
        </row>
        <row r="80">
          <cell r="B80">
            <v>12767</v>
          </cell>
          <cell r="C80" t="str">
            <v>Recovery &amp; Processing Team *KC</v>
          </cell>
          <cell r="F80">
            <v>719110.1</v>
          </cell>
          <cell r="G80">
            <v>0</v>
          </cell>
          <cell r="H80">
            <v>719110.1</v>
          </cell>
        </row>
        <row r="81">
          <cell r="B81">
            <v>12768</v>
          </cell>
          <cell r="C81" t="str">
            <v>Specialist Recovery Team *KC</v>
          </cell>
          <cell r="F81">
            <v>123720.13</v>
          </cell>
          <cell r="G81">
            <v>0</v>
          </cell>
          <cell r="H81">
            <v>123720.13</v>
          </cell>
        </row>
        <row r="82">
          <cell r="B82">
            <v>12793</v>
          </cell>
          <cell r="C82" t="str">
            <v>Housing Act Advances - Other *PW A</v>
          </cell>
          <cell r="F82">
            <v>7113.62</v>
          </cell>
          <cell r="G82">
            <v>-3081.68</v>
          </cell>
          <cell r="H82">
            <v>4031.94</v>
          </cell>
        </row>
        <row r="83">
          <cell r="B83">
            <v>12794</v>
          </cell>
          <cell r="C83" t="str">
            <v>Housing Act Advances - Hsg Ass *PW</v>
          </cell>
          <cell r="F83">
            <v>9962.7000000000007</v>
          </cell>
          <cell r="G83">
            <v>0</v>
          </cell>
          <cell r="H83">
            <v>9962.7000000000007</v>
          </cell>
        </row>
        <row r="84">
          <cell r="B84">
            <v>12801</v>
          </cell>
          <cell r="C84" t="str">
            <v>Depreciation*AMRA *LW</v>
          </cell>
          <cell r="F84">
            <v>-803343.5</v>
          </cell>
          <cell r="G84">
            <v>0</v>
          </cell>
          <cell r="H84">
            <v>-803343.5</v>
          </cell>
        </row>
        <row r="85">
          <cell r="B85">
            <v>12802</v>
          </cell>
          <cell r="C85" t="str">
            <v>AM A/C - External Interest*AMRA *L</v>
          </cell>
          <cell r="F85">
            <v>9478792.3300000001</v>
          </cell>
          <cell r="G85">
            <v>0</v>
          </cell>
          <cell r="H85">
            <v>9478792.3300000001</v>
          </cell>
        </row>
        <row r="86">
          <cell r="B86">
            <v>12804</v>
          </cell>
          <cell r="C86" t="str">
            <v>Prov For Repayment Of Ext Loan*AMR</v>
          </cell>
          <cell r="F86">
            <v>4780494.2</v>
          </cell>
          <cell r="G86">
            <v>0</v>
          </cell>
          <cell r="H86">
            <v>4780494.2</v>
          </cell>
        </row>
        <row r="87">
          <cell r="B87">
            <v>12806</v>
          </cell>
          <cell r="C87" t="str">
            <v>Western Dist Coroners Service*PW</v>
          </cell>
          <cell r="F87">
            <v>157529.79</v>
          </cell>
          <cell r="G87">
            <v>0</v>
          </cell>
          <cell r="H87">
            <v>157529.79</v>
          </cell>
        </row>
        <row r="88">
          <cell r="B88">
            <v>12809</v>
          </cell>
          <cell r="C88" t="str">
            <v>Uxbridge One Stop CAB *BM</v>
          </cell>
          <cell r="F88">
            <v>8670.75</v>
          </cell>
          <cell r="G88">
            <v>0</v>
          </cell>
          <cell r="H88">
            <v>8670.75</v>
          </cell>
        </row>
        <row r="89">
          <cell r="B89">
            <v>12810</v>
          </cell>
          <cell r="C89" t="str">
            <v>East Ave Hayes Race Eql Cncl *BM</v>
          </cell>
          <cell r="F89">
            <v>12540</v>
          </cell>
          <cell r="G89">
            <v>0</v>
          </cell>
          <cell r="H89">
            <v>12540</v>
          </cell>
        </row>
        <row r="90">
          <cell r="B90">
            <v>12811</v>
          </cell>
          <cell r="C90" t="str">
            <v>Key House Yiewsley CAB *BM</v>
          </cell>
          <cell r="F90">
            <v>15714.89</v>
          </cell>
          <cell r="G90">
            <v>0</v>
          </cell>
          <cell r="H90">
            <v>15714.89</v>
          </cell>
        </row>
        <row r="91">
          <cell r="B91">
            <v>12812</v>
          </cell>
          <cell r="C91" t="str">
            <v>Ruislip CAB Recharge *BM</v>
          </cell>
          <cell r="F91">
            <v>4226.3999999999996</v>
          </cell>
          <cell r="G91">
            <v>0</v>
          </cell>
          <cell r="H91">
            <v>4226.3999999999996</v>
          </cell>
        </row>
        <row r="92">
          <cell r="B92">
            <v>12815</v>
          </cell>
          <cell r="C92" t="str">
            <v>London Boroughs Grants Scheme *BM</v>
          </cell>
          <cell r="F92">
            <v>896234</v>
          </cell>
          <cell r="G92">
            <v>0</v>
          </cell>
          <cell r="H92">
            <v>896234</v>
          </cell>
        </row>
        <row r="93">
          <cell r="B93">
            <v>12816</v>
          </cell>
          <cell r="C93" t="str">
            <v>Other Grants *BM</v>
          </cell>
          <cell r="F93">
            <v>42510</v>
          </cell>
          <cell r="G93">
            <v>0</v>
          </cell>
          <cell r="H93">
            <v>42510</v>
          </cell>
        </row>
        <row r="94">
          <cell r="B94">
            <v>12818</v>
          </cell>
          <cell r="C94" t="str">
            <v>Heathrow Third Runway (All Revenue</v>
          </cell>
          <cell r="F94">
            <v>39105.449999999997</v>
          </cell>
          <cell r="G94">
            <v>0</v>
          </cell>
          <cell r="H94">
            <v>39105.449999999997</v>
          </cell>
        </row>
        <row r="95">
          <cell r="B95">
            <v>12820</v>
          </cell>
          <cell r="C95" t="str">
            <v>Car Loans Scheme *PW A</v>
          </cell>
          <cell r="F95">
            <v>15060.56</v>
          </cell>
          <cell r="G95">
            <v>-34725.910000000003</v>
          </cell>
          <cell r="H95">
            <v>-19665.350000000006</v>
          </cell>
        </row>
        <row r="96">
          <cell r="B96">
            <v>12821</v>
          </cell>
          <cell r="C96" t="str">
            <v>Interest On Cash Balances *AMRA *L</v>
          </cell>
          <cell r="F96">
            <v>0</v>
          </cell>
          <cell r="G96">
            <v>612911.47</v>
          </cell>
          <cell r="H96">
            <v>612911.47</v>
          </cell>
        </row>
        <row r="97">
          <cell r="B97">
            <v>12822</v>
          </cell>
          <cell r="C97" t="str">
            <v>Investment Income*AMRA *LW</v>
          </cell>
          <cell r="F97">
            <v>0</v>
          </cell>
          <cell r="G97">
            <v>-4544431.71</v>
          </cell>
          <cell r="H97">
            <v>-4544431.71</v>
          </cell>
        </row>
        <row r="98">
          <cell r="B98">
            <v>12823</v>
          </cell>
          <cell r="C98" t="str">
            <v>London Housing Consortium *PW A</v>
          </cell>
          <cell r="F98">
            <v>0</v>
          </cell>
          <cell r="G98">
            <v>-260172</v>
          </cell>
          <cell r="H98">
            <v>-260172</v>
          </cell>
        </row>
        <row r="99">
          <cell r="B99">
            <v>12824</v>
          </cell>
          <cell r="C99" t="str">
            <v>London Pensions Fund Authority *PW</v>
          </cell>
          <cell r="F99">
            <v>308564.24</v>
          </cell>
          <cell r="G99">
            <v>0</v>
          </cell>
          <cell r="H99">
            <v>308564.24</v>
          </cell>
        </row>
        <row r="100">
          <cell r="B100">
            <v>12826</v>
          </cell>
          <cell r="C100" t="str">
            <v>Doubtful Debts Provision - Adj *PW</v>
          </cell>
          <cell r="F100">
            <v>26581.56</v>
          </cell>
          <cell r="G100">
            <v>0</v>
          </cell>
          <cell r="H100">
            <v>26581.56</v>
          </cell>
        </row>
        <row r="101">
          <cell r="B101">
            <v>12827</v>
          </cell>
          <cell r="C101" t="str">
            <v>Insurance Fund Contributions *PW A</v>
          </cell>
          <cell r="F101">
            <v>79962</v>
          </cell>
          <cell r="G101">
            <v>-11227.47</v>
          </cell>
          <cell r="H101">
            <v>68734.53</v>
          </cell>
        </row>
        <row r="102">
          <cell r="B102">
            <v>12828</v>
          </cell>
          <cell r="C102" t="str">
            <v>Redundancy Costs *PW A</v>
          </cell>
          <cell r="F102">
            <v>547110.76</v>
          </cell>
          <cell r="G102">
            <v>-255.32</v>
          </cell>
          <cell r="H102">
            <v>546855.44000000006</v>
          </cell>
        </row>
        <row r="103">
          <cell r="B103">
            <v>12832</v>
          </cell>
          <cell r="C103" t="str">
            <v>LRB Transferred Balances *PW A</v>
          </cell>
          <cell r="F103">
            <v>0</v>
          </cell>
          <cell r="G103">
            <v>-11143.8</v>
          </cell>
          <cell r="H103">
            <v>-11143.8</v>
          </cell>
        </row>
        <row r="104">
          <cell r="B104">
            <v>12833</v>
          </cell>
          <cell r="C104" t="str">
            <v>NDC Pension Costs *PW A</v>
          </cell>
          <cell r="F104">
            <v>371000</v>
          </cell>
          <cell r="G104">
            <v>0</v>
          </cell>
          <cell r="H104">
            <v>371000</v>
          </cell>
        </row>
        <row r="105">
          <cell r="B105">
            <v>12834</v>
          </cell>
          <cell r="C105" t="str">
            <v>Payments to Hsg capital recs pool*</v>
          </cell>
          <cell r="F105">
            <v>3828425.07</v>
          </cell>
          <cell r="G105">
            <v>0</v>
          </cell>
          <cell r="H105">
            <v>3828425.07</v>
          </cell>
        </row>
        <row r="106">
          <cell r="B106">
            <v>12835</v>
          </cell>
          <cell r="C106" t="str">
            <v>Depreciation *AMRA *LW</v>
          </cell>
          <cell r="F106">
            <v>-16927752.949999999</v>
          </cell>
          <cell r="G106">
            <v>0</v>
          </cell>
          <cell r="H106">
            <v>-16927752.949999999</v>
          </cell>
        </row>
        <row r="107">
          <cell r="B107">
            <v>12836</v>
          </cell>
          <cell r="C107" t="str">
            <v>Debt Charges *AMRA *LW</v>
          </cell>
          <cell r="F107">
            <v>-1975922</v>
          </cell>
          <cell r="G107">
            <v>0</v>
          </cell>
          <cell r="H107">
            <v>-1975922</v>
          </cell>
        </row>
        <row r="108">
          <cell r="B108">
            <v>12837</v>
          </cell>
          <cell r="C108" t="str">
            <v>Depreciation on surplus assets *PW</v>
          </cell>
          <cell r="F108">
            <v>282922</v>
          </cell>
          <cell r="G108">
            <v>0</v>
          </cell>
          <cell r="H108">
            <v>282922</v>
          </cell>
        </row>
        <row r="109">
          <cell r="B109">
            <v>12838</v>
          </cell>
          <cell r="C109" t="str">
            <v>Other Income And Expenditure *PW A</v>
          </cell>
          <cell r="F109">
            <v>33798.660000000003</v>
          </cell>
          <cell r="G109">
            <v>-932276.36</v>
          </cell>
          <cell r="H109">
            <v>-898477.7</v>
          </cell>
        </row>
        <row r="110">
          <cell r="B110">
            <v>12839</v>
          </cell>
          <cell r="C110" t="str">
            <v>Unnapportionable Overheads *PW A</v>
          </cell>
          <cell r="F110">
            <v>1310.78</v>
          </cell>
          <cell r="G110">
            <v>-100656.17</v>
          </cell>
          <cell r="H110">
            <v>-99345.39</v>
          </cell>
        </row>
        <row r="111">
          <cell r="B111">
            <v>12840</v>
          </cell>
          <cell r="C111" t="str">
            <v>Corporate Savings *AMRA *LW</v>
          </cell>
          <cell r="F111">
            <v>0</v>
          </cell>
          <cell r="G111">
            <v>13060</v>
          </cell>
          <cell r="H111">
            <v>13060</v>
          </cell>
        </row>
        <row r="112">
          <cell r="B112">
            <v>12841</v>
          </cell>
          <cell r="C112" t="str">
            <v>Deferred Charges W/Down Adj *AMRA</v>
          </cell>
          <cell r="F112">
            <v>-10355316.949999999</v>
          </cell>
          <cell r="G112">
            <v>0</v>
          </cell>
          <cell r="H112">
            <v>-10355316.949999999</v>
          </cell>
        </row>
        <row r="113">
          <cell r="B113">
            <v>12842</v>
          </cell>
          <cell r="C113" t="str">
            <v>Deferred Contributions W/Down *AMR</v>
          </cell>
          <cell r="F113">
            <v>12484838.140000001</v>
          </cell>
          <cell r="G113">
            <v>0</v>
          </cell>
          <cell r="H113">
            <v>12484838.140000001</v>
          </cell>
        </row>
        <row r="114">
          <cell r="B114">
            <v>12844</v>
          </cell>
          <cell r="C114" t="str">
            <v>Profit/Loss on disposal to I &amp; E</v>
          </cell>
          <cell r="F114">
            <v>183124.32</v>
          </cell>
          <cell r="G114">
            <v>0</v>
          </cell>
          <cell r="H114">
            <v>183124.32</v>
          </cell>
        </row>
        <row r="115">
          <cell r="B115">
            <v>12845</v>
          </cell>
          <cell r="C115" t="str">
            <v>Premia Early Redemption *AMRA *LW</v>
          </cell>
          <cell r="F115">
            <v>61730.16</v>
          </cell>
          <cell r="G115">
            <v>0</v>
          </cell>
          <cell r="H115">
            <v>61730.16</v>
          </cell>
        </row>
        <row r="116">
          <cell r="B116">
            <v>12860</v>
          </cell>
          <cell r="C116" t="str">
            <v>Advice &amp; Support Grants *BM</v>
          </cell>
          <cell r="F116">
            <v>524476</v>
          </cell>
          <cell r="G116">
            <v>0</v>
          </cell>
          <cell r="H116">
            <v>524476</v>
          </cell>
        </row>
        <row r="117">
          <cell r="B117">
            <v>12861</v>
          </cell>
          <cell r="C117" t="str">
            <v>Social Services Grants *BM</v>
          </cell>
          <cell r="F117">
            <v>762514</v>
          </cell>
          <cell r="G117">
            <v>0</v>
          </cell>
          <cell r="H117">
            <v>762514</v>
          </cell>
        </row>
        <row r="118">
          <cell r="B118">
            <v>12862</v>
          </cell>
          <cell r="C118" t="str">
            <v>EYL &amp; Environment Grants *BM</v>
          </cell>
          <cell r="F118">
            <v>294349.36</v>
          </cell>
          <cell r="G118">
            <v>0</v>
          </cell>
          <cell r="H118">
            <v>294349.36</v>
          </cell>
        </row>
        <row r="119">
          <cell r="B119">
            <v>12863</v>
          </cell>
          <cell r="C119" t="str">
            <v>Housing Grants *BM</v>
          </cell>
          <cell r="F119">
            <v>45750</v>
          </cell>
          <cell r="G119">
            <v>0</v>
          </cell>
          <cell r="H119">
            <v>45750</v>
          </cell>
        </row>
        <row r="120">
          <cell r="B120">
            <v>12900</v>
          </cell>
          <cell r="C120" t="str">
            <v>Pension cost *AMRA *LW</v>
          </cell>
          <cell r="F120">
            <v>-2977000</v>
          </cell>
          <cell r="G120">
            <v>0</v>
          </cell>
          <cell r="H120">
            <v>-2977000</v>
          </cell>
        </row>
        <row r="121">
          <cell r="B121">
            <v>12901</v>
          </cell>
          <cell r="C121" t="str">
            <v>Pension Reserve Adjs *AMRA *LW</v>
          </cell>
          <cell r="F121">
            <v>-3521767.96</v>
          </cell>
          <cell r="G121">
            <v>0</v>
          </cell>
          <cell r="H121">
            <v>-3521767.96</v>
          </cell>
        </row>
        <row r="122">
          <cell r="B122">
            <v>12902</v>
          </cell>
          <cell r="C122" t="str">
            <v>Contr. from UCR Hsg pooled rec. *A</v>
          </cell>
          <cell r="F122">
            <v>-3828425.07</v>
          </cell>
          <cell r="G122">
            <v>0</v>
          </cell>
          <cell r="H122">
            <v>-3828425.07</v>
          </cell>
        </row>
        <row r="123">
          <cell r="B123">
            <v>12903</v>
          </cell>
          <cell r="C123" t="str">
            <v>PROFIT/LOSS ON DISPOSAL FR MOV</v>
          </cell>
          <cell r="F123">
            <v>-183124.32</v>
          </cell>
          <cell r="G123">
            <v>0</v>
          </cell>
          <cell r="H123">
            <v>-183124.32</v>
          </cell>
        </row>
        <row r="124">
          <cell r="B124">
            <v>12907</v>
          </cell>
          <cell r="C124" t="str">
            <v>Precept On Collection Fund *AMRA *</v>
          </cell>
          <cell r="F124">
            <v>0</v>
          </cell>
          <cell r="G124">
            <v>-99367314.049999997</v>
          </cell>
          <cell r="H124">
            <v>-99367314.049999997</v>
          </cell>
        </row>
        <row r="125">
          <cell r="B125">
            <v>12908</v>
          </cell>
          <cell r="C125" t="str">
            <v>Revenue Support Grant *AMRA *LW</v>
          </cell>
          <cell r="F125">
            <v>0</v>
          </cell>
          <cell r="G125">
            <v>-11883400</v>
          </cell>
          <cell r="H125">
            <v>-11883400</v>
          </cell>
        </row>
        <row r="126">
          <cell r="B126">
            <v>12909</v>
          </cell>
          <cell r="C126" t="str">
            <v>Distribution Of NNDR Pool *AMRA *L</v>
          </cell>
          <cell r="F126">
            <v>0</v>
          </cell>
          <cell r="G126">
            <v>-60906226</v>
          </cell>
          <cell r="H126">
            <v>-60906226</v>
          </cell>
        </row>
        <row r="127">
          <cell r="B127">
            <v>12913</v>
          </cell>
          <cell r="C127" t="str">
            <v>PSA Reward Grant *PW A*</v>
          </cell>
          <cell r="F127">
            <v>1072444.75</v>
          </cell>
          <cell r="G127">
            <v>-3217334.25</v>
          </cell>
          <cell r="H127">
            <v>-2144889.5</v>
          </cell>
        </row>
        <row r="128">
          <cell r="B128">
            <v>12914</v>
          </cell>
          <cell r="C128" t="str">
            <v>RSG Amending reports *PW A*</v>
          </cell>
          <cell r="F128">
            <v>0</v>
          </cell>
          <cell r="G128">
            <v>-378643</v>
          </cell>
          <cell r="H128">
            <v>-378643</v>
          </cell>
        </row>
        <row r="129">
          <cell r="B129">
            <v>12987</v>
          </cell>
          <cell r="C129" t="str">
            <v>Inspectors *KC</v>
          </cell>
          <cell r="F129">
            <v>130</v>
          </cell>
          <cell r="G129">
            <v>0</v>
          </cell>
          <cell r="H129">
            <v>130</v>
          </cell>
        </row>
        <row r="130">
          <cell r="B130">
            <v>12988</v>
          </cell>
          <cell r="C130" t="str">
            <v>Support Services Team *KC</v>
          </cell>
          <cell r="F130">
            <v>219001.86</v>
          </cell>
          <cell r="G130">
            <v>0</v>
          </cell>
          <cell r="H130">
            <v>219001.86</v>
          </cell>
        </row>
        <row r="131">
          <cell r="B131">
            <v>12989</v>
          </cell>
          <cell r="C131" t="str">
            <v>Reception *KC</v>
          </cell>
          <cell r="F131">
            <v>110</v>
          </cell>
          <cell r="G131">
            <v>0</v>
          </cell>
          <cell r="H131">
            <v>110</v>
          </cell>
        </row>
        <row r="132">
          <cell r="B132">
            <v>12990</v>
          </cell>
          <cell r="C132" t="str">
            <v>Recovery *KC</v>
          </cell>
          <cell r="F132">
            <v>110</v>
          </cell>
          <cell r="G132">
            <v>0</v>
          </cell>
          <cell r="H132">
            <v>110</v>
          </cell>
        </row>
        <row r="133">
          <cell r="B133">
            <v>12991</v>
          </cell>
          <cell r="C133" t="str">
            <v>Council Tax Collection Admin *KC</v>
          </cell>
          <cell r="F133">
            <v>285230</v>
          </cell>
          <cell r="G133">
            <v>0</v>
          </cell>
          <cell r="H133">
            <v>285230</v>
          </cell>
        </row>
        <row r="134">
          <cell r="B134">
            <v>12992</v>
          </cell>
          <cell r="C134" t="str">
            <v>Business Rate Team *KC</v>
          </cell>
          <cell r="F134">
            <v>588139.38</v>
          </cell>
          <cell r="G134">
            <v>-678839.48</v>
          </cell>
          <cell r="H134">
            <v>-90700.099999999977</v>
          </cell>
        </row>
        <row r="135">
          <cell r="B135">
            <v>15600</v>
          </cell>
          <cell r="C135" t="str">
            <v>Youth &amp; Leisure General</v>
          </cell>
          <cell r="F135">
            <v>350</v>
          </cell>
          <cell r="G135">
            <v>0</v>
          </cell>
          <cell r="H135">
            <v>350</v>
          </cell>
        </row>
        <row r="136">
          <cell r="B136">
            <v>15601</v>
          </cell>
          <cell r="C136" t="str">
            <v>Cultural Services</v>
          </cell>
          <cell r="F136">
            <v>42366.41</v>
          </cell>
          <cell r="G136">
            <v>0</v>
          </cell>
          <cell r="H136">
            <v>42366.41</v>
          </cell>
        </row>
        <row r="137">
          <cell r="B137">
            <v>15602</v>
          </cell>
          <cell r="C137" t="str">
            <v>Information Technology</v>
          </cell>
          <cell r="F137">
            <v>240157.99</v>
          </cell>
          <cell r="G137">
            <v>-20337</v>
          </cell>
          <cell r="H137">
            <v>219820.99</v>
          </cell>
        </row>
        <row r="138">
          <cell r="B138">
            <v>15603</v>
          </cell>
          <cell r="C138" t="str">
            <v>Information Services</v>
          </cell>
          <cell r="F138">
            <v>331697.74</v>
          </cell>
          <cell r="G138">
            <v>0</v>
          </cell>
          <cell r="H138">
            <v>331697.74</v>
          </cell>
        </row>
        <row r="139">
          <cell r="B139">
            <v>15604</v>
          </cell>
          <cell r="C139" t="str">
            <v>Special Client Services</v>
          </cell>
          <cell r="F139">
            <v>58790.89</v>
          </cell>
          <cell r="G139">
            <v>0</v>
          </cell>
          <cell r="H139">
            <v>58790.89</v>
          </cell>
        </row>
        <row r="140">
          <cell r="B140">
            <v>15605</v>
          </cell>
          <cell r="C140" t="str">
            <v>Operational Services</v>
          </cell>
          <cell r="F140">
            <v>914840.92</v>
          </cell>
          <cell r="G140">
            <v>-12816</v>
          </cell>
          <cell r="H140">
            <v>902024.92</v>
          </cell>
        </row>
        <row r="141">
          <cell r="B141">
            <v>15607</v>
          </cell>
          <cell r="C141" t="str">
            <v>Library Publications</v>
          </cell>
          <cell r="F141">
            <v>0</v>
          </cell>
          <cell r="G141">
            <v>-3</v>
          </cell>
          <cell r="H141">
            <v>-3</v>
          </cell>
        </row>
        <row r="142">
          <cell r="B142">
            <v>15608</v>
          </cell>
          <cell r="C142" t="str">
            <v>Stock Systems</v>
          </cell>
          <cell r="F142">
            <v>182563.83</v>
          </cell>
          <cell r="G142">
            <v>0</v>
          </cell>
          <cell r="H142">
            <v>182563.83</v>
          </cell>
        </row>
        <row r="143">
          <cell r="B143">
            <v>15612</v>
          </cell>
          <cell r="C143" t="str">
            <v>Surestart</v>
          </cell>
          <cell r="F143">
            <v>32140.38</v>
          </cell>
          <cell r="G143">
            <v>-26645</v>
          </cell>
          <cell r="H143">
            <v>5495.380000000001</v>
          </cell>
        </row>
        <row r="144">
          <cell r="B144">
            <v>15615</v>
          </cell>
          <cell r="C144" t="str">
            <v>ECDL: e-Learning</v>
          </cell>
          <cell r="F144">
            <v>45572.13</v>
          </cell>
          <cell r="G144">
            <v>-27964.45</v>
          </cell>
          <cell r="H144">
            <v>17607.679999999997</v>
          </cell>
        </row>
        <row r="145">
          <cell r="B145">
            <v>15620</v>
          </cell>
          <cell r="C145" t="str">
            <v>Stock Services</v>
          </cell>
          <cell r="F145">
            <v>255578.53</v>
          </cell>
          <cell r="G145">
            <v>0</v>
          </cell>
          <cell r="H145">
            <v>255578.53</v>
          </cell>
        </row>
        <row r="146">
          <cell r="B146">
            <v>15621</v>
          </cell>
          <cell r="C146" t="str">
            <v>Stock Fund 1</v>
          </cell>
          <cell r="F146">
            <v>1791.93</v>
          </cell>
          <cell r="G146">
            <v>0</v>
          </cell>
          <cell r="H146">
            <v>1791.93</v>
          </cell>
        </row>
        <row r="147">
          <cell r="B147">
            <v>15622</v>
          </cell>
          <cell r="C147" t="str">
            <v>Adult A/V</v>
          </cell>
          <cell r="F147">
            <v>63019.519999999997</v>
          </cell>
          <cell r="G147">
            <v>0</v>
          </cell>
          <cell r="H147">
            <v>63019.519999999997</v>
          </cell>
        </row>
        <row r="148">
          <cell r="B148">
            <v>15623</v>
          </cell>
          <cell r="C148" t="str">
            <v>Periodicals</v>
          </cell>
          <cell r="F148">
            <v>27119.45</v>
          </cell>
          <cell r="G148">
            <v>0</v>
          </cell>
          <cell r="H148">
            <v>27119.45</v>
          </cell>
        </row>
        <row r="149">
          <cell r="B149">
            <v>15624</v>
          </cell>
          <cell r="C149" t="str">
            <v>Adult Non Fiction</v>
          </cell>
          <cell r="F149">
            <v>165403.70000000001</v>
          </cell>
          <cell r="G149">
            <v>0</v>
          </cell>
          <cell r="H149">
            <v>165403.70000000001</v>
          </cell>
        </row>
        <row r="150">
          <cell r="B150">
            <v>15625</v>
          </cell>
          <cell r="C150" t="str">
            <v>Adult Fiction</v>
          </cell>
          <cell r="F150">
            <v>163329.04999999999</v>
          </cell>
          <cell r="G150">
            <v>0</v>
          </cell>
          <cell r="H150">
            <v>163329.04999999999</v>
          </cell>
        </row>
        <row r="151">
          <cell r="B151">
            <v>15627</v>
          </cell>
          <cell r="C151" t="str">
            <v>Community Languages</v>
          </cell>
          <cell r="F151">
            <v>10872.65</v>
          </cell>
          <cell r="G151">
            <v>0</v>
          </cell>
          <cell r="H151">
            <v>10872.65</v>
          </cell>
        </row>
        <row r="152">
          <cell r="B152">
            <v>15628</v>
          </cell>
          <cell r="C152" t="str">
            <v>Reserve</v>
          </cell>
          <cell r="F152">
            <v>38493.53</v>
          </cell>
          <cell r="G152">
            <v>0</v>
          </cell>
          <cell r="H152">
            <v>38493.53</v>
          </cell>
        </row>
        <row r="153">
          <cell r="B153">
            <v>15630</v>
          </cell>
          <cell r="C153" t="str">
            <v>Children &amp; Students</v>
          </cell>
          <cell r="F153">
            <v>440117.96</v>
          </cell>
          <cell r="G153">
            <v>-1837.84</v>
          </cell>
          <cell r="H153">
            <v>438280.12</v>
          </cell>
        </row>
        <row r="154">
          <cell r="B154">
            <v>15631</v>
          </cell>
          <cell r="C154" t="str">
            <v>OUTREACH PROGRAMME</v>
          </cell>
          <cell r="F154">
            <v>87429.52</v>
          </cell>
          <cell r="G154">
            <v>-116.89</v>
          </cell>
          <cell r="H154">
            <v>87312.63</v>
          </cell>
        </row>
        <row r="155">
          <cell r="B155">
            <v>15632</v>
          </cell>
          <cell r="C155" t="str">
            <v>PSA-Libraries-Resources &amp; Developm</v>
          </cell>
          <cell r="F155">
            <v>30797.74</v>
          </cell>
          <cell r="G155">
            <v>-18260</v>
          </cell>
          <cell r="H155">
            <v>12537.740000000002</v>
          </cell>
        </row>
        <row r="156">
          <cell r="B156">
            <v>15640</v>
          </cell>
          <cell r="C156" t="str">
            <v>Arts Co-Ordination</v>
          </cell>
          <cell r="F156">
            <v>78609.259999999995</v>
          </cell>
          <cell r="G156">
            <v>-1589.24</v>
          </cell>
          <cell r="H156">
            <v>77020.01999999999</v>
          </cell>
        </row>
        <row r="157">
          <cell r="B157">
            <v>15650</v>
          </cell>
          <cell r="C157" t="str">
            <v>Local Heritage</v>
          </cell>
          <cell r="F157">
            <v>105579.13</v>
          </cell>
          <cell r="G157">
            <v>-1095.5899999999999</v>
          </cell>
          <cell r="H157">
            <v>104483.54000000001</v>
          </cell>
        </row>
        <row r="158">
          <cell r="B158">
            <v>15651</v>
          </cell>
          <cell r="C158" t="str">
            <v>Heritage Builds Bridges</v>
          </cell>
          <cell r="F158">
            <v>108919.88</v>
          </cell>
          <cell r="G158">
            <v>-96693.52</v>
          </cell>
          <cell r="H158">
            <v>12226.36</v>
          </cell>
        </row>
        <row r="159">
          <cell r="B159">
            <v>15660</v>
          </cell>
          <cell r="C159" t="str">
            <v>Central Library</v>
          </cell>
          <cell r="F159">
            <v>637652.46</v>
          </cell>
          <cell r="G159">
            <v>-97159.69</v>
          </cell>
          <cell r="H159">
            <v>540492.77</v>
          </cell>
        </row>
        <row r="160">
          <cell r="B160">
            <v>15661</v>
          </cell>
          <cell r="C160" t="str">
            <v>Uxbridge Area Management</v>
          </cell>
          <cell r="F160">
            <v>24013.77</v>
          </cell>
          <cell r="G160">
            <v>0</v>
          </cell>
          <cell r="H160">
            <v>24013.77</v>
          </cell>
        </row>
        <row r="161">
          <cell r="B161">
            <v>15667</v>
          </cell>
          <cell r="C161" t="str">
            <v>Nof Homework Club</v>
          </cell>
          <cell r="F161">
            <v>2832.76</v>
          </cell>
          <cell r="G161">
            <v>0</v>
          </cell>
          <cell r="H161">
            <v>2832.76</v>
          </cell>
        </row>
        <row r="162">
          <cell r="B162">
            <v>15670</v>
          </cell>
          <cell r="C162" t="str">
            <v>Hayes/Harl Area Management</v>
          </cell>
          <cell r="F162">
            <v>53054.23</v>
          </cell>
          <cell r="G162">
            <v>-38.299999999999997</v>
          </cell>
          <cell r="H162">
            <v>53015.93</v>
          </cell>
        </row>
        <row r="163">
          <cell r="B163">
            <v>15671</v>
          </cell>
          <cell r="C163" t="str">
            <v>Hayes Library</v>
          </cell>
          <cell r="F163">
            <v>206626.47</v>
          </cell>
          <cell r="G163">
            <v>-14412.27</v>
          </cell>
          <cell r="H163">
            <v>192214.2</v>
          </cell>
        </row>
        <row r="164">
          <cell r="B164">
            <v>15672</v>
          </cell>
          <cell r="C164" t="str">
            <v>Harlington Library</v>
          </cell>
          <cell r="F164">
            <v>146578.1</v>
          </cell>
          <cell r="G164">
            <v>-14552.49</v>
          </cell>
          <cell r="H164">
            <v>132025.61000000002</v>
          </cell>
        </row>
        <row r="165">
          <cell r="B165">
            <v>15673</v>
          </cell>
          <cell r="C165" t="str">
            <v>Hayes End Library</v>
          </cell>
          <cell r="F165">
            <v>39745.58</v>
          </cell>
          <cell r="G165">
            <v>-4612.45</v>
          </cell>
          <cell r="H165">
            <v>35133.130000000005</v>
          </cell>
        </row>
        <row r="166">
          <cell r="B166">
            <v>15674</v>
          </cell>
          <cell r="C166" t="str">
            <v>Kingshill Library</v>
          </cell>
          <cell r="F166">
            <v>63888.95</v>
          </cell>
          <cell r="G166">
            <v>-3102.11</v>
          </cell>
          <cell r="H166">
            <v>60786.84</v>
          </cell>
        </row>
        <row r="167">
          <cell r="B167">
            <v>15675</v>
          </cell>
          <cell r="C167" t="str">
            <v>Oak Farm Library</v>
          </cell>
          <cell r="F167">
            <v>132831.64000000001</v>
          </cell>
          <cell r="G167">
            <v>-18048.02</v>
          </cell>
          <cell r="H167">
            <v>114783.62000000001</v>
          </cell>
        </row>
        <row r="168">
          <cell r="B168">
            <v>15676</v>
          </cell>
          <cell r="C168" t="str">
            <v>West Drayton Library</v>
          </cell>
          <cell r="F168">
            <v>70349.990000000005</v>
          </cell>
          <cell r="G168">
            <v>-5084.16</v>
          </cell>
          <cell r="H168">
            <v>65265.83</v>
          </cell>
        </row>
        <row r="169">
          <cell r="B169">
            <v>15677</v>
          </cell>
          <cell r="C169" t="str">
            <v>Yeading Library</v>
          </cell>
          <cell r="F169">
            <v>134733.18</v>
          </cell>
          <cell r="G169">
            <v>-10390.41</v>
          </cell>
          <cell r="H169">
            <v>124342.76999999999</v>
          </cell>
        </row>
        <row r="170">
          <cell r="B170">
            <v>15678</v>
          </cell>
          <cell r="C170" t="str">
            <v>Yiewsley Library</v>
          </cell>
          <cell r="F170">
            <v>138386.54</v>
          </cell>
          <cell r="G170">
            <v>-8625.1</v>
          </cell>
          <cell r="H170">
            <v>129761.44</v>
          </cell>
        </row>
        <row r="171">
          <cell r="B171">
            <v>15679</v>
          </cell>
          <cell r="C171" t="str">
            <v>Mobile Library</v>
          </cell>
          <cell r="F171">
            <v>48931.839999999997</v>
          </cell>
          <cell r="G171">
            <v>0</v>
          </cell>
          <cell r="H171">
            <v>48931.839999999997</v>
          </cell>
        </row>
        <row r="172">
          <cell r="B172">
            <v>15680</v>
          </cell>
          <cell r="C172" t="str">
            <v>Schools Library Service</v>
          </cell>
          <cell r="F172">
            <v>212316.82</v>
          </cell>
          <cell r="G172">
            <v>-196665.1</v>
          </cell>
          <cell r="H172">
            <v>15651.720000000001</v>
          </cell>
        </row>
        <row r="173">
          <cell r="B173">
            <v>15690</v>
          </cell>
          <cell r="C173" t="str">
            <v>Ruis/North Area Management</v>
          </cell>
          <cell r="F173">
            <v>151672.92000000001</v>
          </cell>
          <cell r="G173">
            <v>-76.959999999999994</v>
          </cell>
          <cell r="H173">
            <v>151595.96000000002</v>
          </cell>
        </row>
        <row r="174">
          <cell r="B174">
            <v>15691</v>
          </cell>
          <cell r="C174" t="str">
            <v>Manor Farm Library</v>
          </cell>
          <cell r="F174">
            <v>242098.47</v>
          </cell>
          <cell r="G174">
            <v>-21092.46</v>
          </cell>
          <cell r="H174">
            <v>221006.01</v>
          </cell>
        </row>
        <row r="175">
          <cell r="B175">
            <v>15692</v>
          </cell>
          <cell r="C175" t="str">
            <v>Eastcote Library</v>
          </cell>
          <cell r="F175">
            <v>119247.83</v>
          </cell>
          <cell r="G175">
            <v>-8564.0499999999993</v>
          </cell>
          <cell r="H175">
            <v>110683.78</v>
          </cell>
        </row>
        <row r="176">
          <cell r="B176">
            <v>15693</v>
          </cell>
          <cell r="C176" t="str">
            <v>Harefield Library</v>
          </cell>
          <cell r="F176">
            <v>67036.06</v>
          </cell>
          <cell r="G176">
            <v>-3734.69</v>
          </cell>
          <cell r="H176">
            <v>63301.369999999995</v>
          </cell>
        </row>
        <row r="177">
          <cell r="B177">
            <v>15694</v>
          </cell>
          <cell r="C177" t="str">
            <v>Ickenham Library</v>
          </cell>
          <cell r="F177">
            <v>77672.990000000005</v>
          </cell>
          <cell r="G177">
            <v>-8217.34</v>
          </cell>
          <cell r="H177">
            <v>69455.650000000009</v>
          </cell>
        </row>
        <row r="178">
          <cell r="B178">
            <v>15695</v>
          </cell>
          <cell r="C178" t="str">
            <v>Northwood Hills Library</v>
          </cell>
          <cell r="F178">
            <v>162414.56</v>
          </cell>
          <cell r="G178">
            <v>-12629.33</v>
          </cell>
          <cell r="H178">
            <v>149785.23000000001</v>
          </cell>
        </row>
        <row r="179">
          <cell r="B179">
            <v>15696</v>
          </cell>
          <cell r="C179" t="str">
            <v>Oaklands Gate Library</v>
          </cell>
          <cell r="F179">
            <v>108895.7</v>
          </cell>
          <cell r="G179">
            <v>-7745.2</v>
          </cell>
          <cell r="H179">
            <v>101150.5</v>
          </cell>
        </row>
        <row r="180">
          <cell r="B180">
            <v>15697</v>
          </cell>
          <cell r="C180" t="str">
            <v>Ruislip Manor Library</v>
          </cell>
          <cell r="F180">
            <v>156156.43</v>
          </cell>
          <cell r="G180">
            <v>-12756.17</v>
          </cell>
          <cell r="H180">
            <v>143400.25999999998</v>
          </cell>
        </row>
        <row r="181">
          <cell r="B181">
            <v>15698</v>
          </cell>
          <cell r="C181" t="str">
            <v>South Ruislip Library</v>
          </cell>
          <cell r="F181">
            <v>92746.68</v>
          </cell>
          <cell r="G181">
            <v>-4909.7</v>
          </cell>
          <cell r="H181">
            <v>87836.98</v>
          </cell>
        </row>
        <row r="182">
          <cell r="B182">
            <v>15699</v>
          </cell>
          <cell r="C182" t="str">
            <v>Libraries - Premature Retirement</v>
          </cell>
          <cell r="F182">
            <v>39213.879999999997</v>
          </cell>
          <cell r="G182">
            <v>0</v>
          </cell>
          <cell r="H182">
            <v>39213.879999999997</v>
          </cell>
        </row>
        <row r="183">
          <cell r="B183">
            <v>15707</v>
          </cell>
          <cell r="C183" t="str">
            <v>Arts For Carers</v>
          </cell>
          <cell r="F183">
            <v>16735.57</v>
          </cell>
          <cell r="G183">
            <v>-16870</v>
          </cell>
          <cell r="H183">
            <v>-134.43000000000029</v>
          </cell>
        </row>
        <row r="184">
          <cell r="B184">
            <v>15708</v>
          </cell>
          <cell r="C184" t="str">
            <v>Arts Development</v>
          </cell>
          <cell r="F184">
            <v>32043.74</v>
          </cell>
          <cell r="G184">
            <v>0</v>
          </cell>
          <cell r="H184">
            <v>32043.74</v>
          </cell>
        </row>
        <row r="185">
          <cell r="B185">
            <v>15710</v>
          </cell>
          <cell r="C185" t="str">
            <v>Winston Churchill Hall</v>
          </cell>
          <cell r="F185">
            <v>214533.16</v>
          </cell>
          <cell r="G185">
            <v>-123029.02</v>
          </cell>
          <cell r="H185">
            <v>91504.14</v>
          </cell>
        </row>
        <row r="186">
          <cell r="B186">
            <v>15711</v>
          </cell>
          <cell r="C186" t="str">
            <v>Manor Farm House</v>
          </cell>
          <cell r="F186">
            <v>10735.86</v>
          </cell>
          <cell r="G186">
            <v>-42961.58</v>
          </cell>
          <cell r="H186">
            <v>-32225.72</v>
          </cell>
        </row>
        <row r="187">
          <cell r="B187">
            <v>15712</v>
          </cell>
          <cell r="C187" t="str">
            <v>Manor Farm Hall</v>
          </cell>
          <cell r="F187">
            <v>6953.96</v>
          </cell>
          <cell r="G187">
            <v>-7643.5</v>
          </cell>
          <cell r="H187">
            <v>-689.54</v>
          </cell>
        </row>
        <row r="188">
          <cell r="B188">
            <v>15713</v>
          </cell>
          <cell r="C188" t="str">
            <v>Cow Byre</v>
          </cell>
          <cell r="F188">
            <v>3173.55</v>
          </cell>
          <cell r="G188">
            <v>-8131.17</v>
          </cell>
          <cell r="H188">
            <v>-4957.62</v>
          </cell>
        </row>
        <row r="189">
          <cell r="B189">
            <v>15714</v>
          </cell>
          <cell r="C189" t="str">
            <v>The Stables</v>
          </cell>
          <cell r="F189">
            <v>-276.27</v>
          </cell>
          <cell r="G189">
            <v>-16717.03</v>
          </cell>
          <cell r="H189">
            <v>-16993.3</v>
          </cell>
        </row>
        <row r="190">
          <cell r="B190">
            <v>15715</v>
          </cell>
          <cell r="C190" t="str">
            <v>Great Barn</v>
          </cell>
          <cell r="F190">
            <v>9196.9500000000007</v>
          </cell>
          <cell r="G190">
            <v>-3106</v>
          </cell>
          <cell r="H190">
            <v>6090.9500000000007</v>
          </cell>
        </row>
        <row r="191">
          <cell r="B191">
            <v>15716</v>
          </cell>
          <cell r="C191" t="str">
            <v>Park Lane Village Centre</v>
          </cell>
          <cell r="F191">
            <v>14069.47</v>
          </cell>
          <cell r="G191">
            <v>-4393</v>
          </cell>
          <cell r="H191">
            <v>9676.4699999999993</v>
          </cell>
        </row>
        <row r="192">
          <cell r="B192">
            <v>15720</v>
          </cell>
          <cell r="C192" t="str">
            <v>Ruislip C A B</v>
          </cell>
          <cell r="F192">
            <v>4197.09</v>
          </cell>
          <cell r="G192">
            <v>-2687.09</v>
          </cell>
          <cell r="H192">
            <v>1510</v>
          </cell>
        </row>
        <row r="193">
          <cell r="B193">
            <v>15721</v>
          </cell>
          <cell r="C193" t="str">
            <v>Manor Farm Complex</v>
          </cell>
          <cell r="F193">
            <v>88721.39</v>
          </cell>
          <cell r="G193">
            <v>-804.32</v>
          </cell>
          <cell r="H193">
            <v>87917.069999999992</v>
          </cell>
        </row>
        <row r="194">
          <cell r="B194">
            <v>15722</v>
          </cell>
          <cell r="C194" t="str">
            <v>Manor Farm Project Managmt Fees</v>
          </cell>
          <cell r="F194">
            <v>41504.47</v>
          </cell>
          <cell r="G194">
            <v>-41504.17</v>
          </cell>
          <cell r="H194">
            <v>0.30000000000291038</v>
          </cell>
        </row>
        <row r="195">
          <cell r="B195">
            <v>15723</v>
          </cell>
          <cell r="C195" t="str">
            <v>Southlands Arts Hall</v>
          </cell>
          <cell r="F195">
            <v>21860.41</v>
          </cell>
          <cell r="G195">
            <v>0</v>
          </cell>
          <cell r="H195">
            <v>21860.41</v>
          </cell>
        </row>
        <row r="196">
          <cell r="B196">
            <v>15724</v>
          </cell>
          <cell r="C196" t="str">
            <v>Beck Theatre</v>
          </cell>
          <cell r="F196">
            <v>333927.09000000003</v>
          </cell>
          <cell r="G196">
            <v>0</v>
          </cell>
          <cell r="H196">
            <v>333927.09000000003</v>
          </cell>
        </row>
        <row r="197">
          <cell r="B197">
            <v>15726</v>
          </cell>
          <cell r="C197" t="str">
            <v>Compass Theatre</v>
          </cell>
          <cell r="F197">
            <v>375261.23</v>
          </cell>
          <cell r="G197">
            <v>-178040.8</v>
          </cell>
          <cell r="H197">
            <v>197220.43</v>
          </cell>
        </row>
        <row r="198">
          <cell r="B198">
            <v>15728</v>
          </cell>
          <cell r="C198" t="str">
            <v>Street Arts Festival</v>
          </cell>
          <cell r="F198">
            <v>38564.04</v>
          </cell>
          <cell r="G198">
            <v>-19324.04</v>
          </cell>
          <cell r="H198">
            <v>19240</v>
          </cell>
        </row>
        <row r="199">
          <cell r="B199">
            <v>15730</v>
          </cell>
          <cell r="C199" t="str">
            <v>Bill Posting</v>
          </cell>
          <cell r="F199">
            <v>730</v>
          </cell>
          <cell r="G199">
            <v>0</v>
          </cell>
          <cell r="H199">
            <v>730</v>
          </cell>
        </row>
        <row r="200">
          <cell r="B200">
            <v>16000</v>
          </cell>
          <cell r="C200" t="str">
            <v>Town Twinning</v>
          </cell>
          <cell r="F200">
            <v>5166.43</v>
          </cell>
          <cell r="G200">
            <v>2628.43</v>
          </cell>
          <cell r="H200">
            <v>7794.8600000000006</v>
          </cell>
        </row>
        <row r="201">
          <cell r="B201">
            <v>16080</v>
          </cell>
          <cell r="C201" t="str">
            <v>Cowley Meeting Hall</v>
          </cell>
          <cell r="F201">
            <v>231.5</v>
          </cell>
          <cell r="G201">
            <v>0</v>
          </cell>
          <cell r="H201">
            <v>231.5</v>
          </cell>
        </row>
        <row r="202">
          <cell r="B202">
            <v>16095</v>
          </cell>
          <cell r="C202" t="str">
            <v>Minet Site D</v>
          </cell>
          <cell r="F202">
            <v>27694.18</v>
          </cell>
          <cell r="G202">
            <v>-18875.5</v>
          </cell>
          <cell r="H202">
            <v>8818.68</v>
          </cell>
        </row>
        <row r="203">
          <cell r="B203">
            <v>16426</v>
          </cell>
          <cell r="C203" t="str">
            <v>Brookside Pavillion</v>
          </cell>
          <cell r="F203">
            <v>2431.85</v>
          </cell>
          <cell r="G203">
            <v>-45271.95</v>
          </cell>
          <cell r="H203">
            <v>-42840.1</v>
          </cell>
        </row>
        <row r="204">
          <cell r="B204">
            <v>16450</v>
          </cell>
          <cell r="C204" t="str">
            <v>Yiewsley Pool</v>
          </cell>
          <cell r="F204">
            <v>227229.08</v>
          </cell>
          <cell r="G204">
            <v>0</v>
          </cell>
          <cell r="H204">
            <v>227229.08</v>
          </cell>
        </row>
        <row r="205">
          <cell r="B205">
            <v>16519</v>
          </cell>
          <cell r="C205" t="str">
            <v>Stockley Park Golf Course</v>
          </cell>
          <cell r="F205">
            <v>56812.6</v>
          </cell>
          <cell r="G205">
            <v>-153517.47</v>
          </cell>
          <cell r="H205">
            <v>-96704.87</v>
          </cell>
        </row>
        <row r="206">
          <cell r="B206">
            <v>16520</v>
          </cell>
          <cell r="C206" t="str">
            <v>Ski Slopes</v>
          </cell>
          <cell r="F206">
            <v>1.7</v>
          </cell>
          <cell r="G206">
            <v>0</v>
          </cell>
          <cell r="H206">
            <v>1.7</v>
          </cell>
        </row>
        <row r="207">
          <cell r="B207">
            <v>16521</v>
          </cell>
          <cell r="C207" t="str">
            <v>Haste Hill Golf Course</v>
          </cell>
          <cell r="F207">
            <v>7759.98</v>
          </cell>
          <cell r="G207">
            <v>-40635.32</v>
          </cell>
          <cell r="H207">
            <v>-32875.339999999997</v>
          </cell>
        </row>
        <row r="208">
          <cell r="B208">
            <v>16522</v>
          </cell>
          <cell r="C208" t="str">
            <v>Ruislip Golf Course</v>
          </cell>
          <cell r="F208">
            <v>6327.32</v>
          </cell>
          <cell r="G208">
            <v>-101724.14</v>
          </cell>
          <cell r="H208">
            <v>-95396.82</v>
          </cell>
        </row>
        <row r="209">
          <cell r="B209">
            <v>16523</v>
          </cell>
          <cell r="C209" t="str">
            <v>Uxbridge Golf Course</v>
          </cell>
          <cell r="F209">
            <v>6125.17</v>
          </cell>
          <cell r="G209">
            <v>-33537.449999999997</v>
          </cell>
          <cell r="H209">
            <v>-27412.28</v>
          </cell>
        </row>
        <row r="210">
          <cell r="B210">
            <v>16524</v>
          </cell>
          <cell r="C210" t="str">
            <v>All Golf Courses</v>
          </cell>
          <cell r="F210">
            <v>356875.7</v>
          </cell>
          <cell r="G210">
            <v>3761</v>
          </cell>
          <cell r="H210">
            <v>360636.7</v>
          </cell>
        </row>
        <row r="211">
          <cell r="B211">
            <v>16570</v>
          </cell>
          <cell r="C211" t="str">
            <v>Highgrove Pool - Cct</v>
          </cell>
          <cell r="F211">
            <v>1463469.66</v>
          </cell>
          <cell r="G211">
            <v>-1388867.06</v>
          </cell>
          <cell r="H211">
            <v>74602.59999999986</v>
          </cell>
        </row>
        <row r="212">
          <cell r="B212">
            <v>16571</v>
          </cell>
          <cell r="C212" t="str">
            <v>Hayes Pool - Cct</v>
          </cell>
          <cell r="F212">
            <v>1052865.73</v>
          </cell>
          <cell r="G212">
            <v>-511043.12</v>
          </cell>
          <cell r="H212">
            <v>541822.61</v>
          </cell>
        </row>
        <row r="213">
          <cell r="B213">
            <v>16573</v>
          </cell>
          <cell r="C213" t="str">
            <v>Hayes Stadium - Cct</v>
          </cell>
          <cell r="F213">
            <v>374475.1</v>
          </cell>
          <cell r="G213">
            <v>-110539.78</v>
          </cell>
          <cell r="H213">
            <v>263935.31999999995</v>
          </cell>
        </row>
        <row r="214">
          <cell r="B214">
            <v>16574</v>
          </cell>
          <cell r="C214" t="str">
            <v>Queensmead S/C - Sla</v>
          </cell>
          <cell r="F214">
            <v>551200.57999999996</v>
          </cell>
          <cell r="G214">
            <v>-498200.08</v>
          </cell>
          <cell r="H214">
            <v>53000.499999999942</v>
          </cell>
        </row>
        <row r="215">
          <cell r="B215">
            <v>16576</v>
          </cell>
          <cell r="C215" t="str">
            <v>Northwood S/C - Sla</v>
          </cell>
          <cell r="F215">
            <v>133075.41</v>
          </cell>
          <cell r="G215">
            <v>-43046.86</v>
          </cell>
          <cell r="H215">
            <v>90028.55</v>
          </cell>
        </row>
        <row r="216">
          <cell r="B216">
            <v>16577</v>
          </cell>
          <cell r="C216" t="str">
            <v>William Byrd Pool - Sla</v>
          </cell>
          <cell r="F216">
            <v>54852.67</v>
          </cell>
          <cell r="G216">
            <v>-119.83</v>
          </cell>
          <cell r="H216">
            <v>54732.84</v>
          </cell>
        </row>
        <row r="217">
          <cell r="B217">
            <v>16580</v>
          </cell>
          <cell r="C217" t="str">
            <v>Leisure Management Cct/Sla</v>
          </cell>
          <cell r="F217">
            <v>217060.57</v>
          </cell>
          <cell r="G217">
            <v>-5098.21</v>
          </cell>
          <cell r="H217">
            <v>211962.36000000002</v>
          </cell>
        </row>
        <row r="218">
          <cell r="B218">
            <v>16584</v>
          </cell>
          <cell r="C218" t="str">
            <v>Uxbridge Lido</v>
          </cell>
          <cell r="F218">
            <v>1980</v>
          </cell>
          <cell r="G218">
            <v>0</v>
          </cell>
          <cell r="H218">
            <v>1980</v>
          </cell>
        </row>
        <row r="219">
          <cell r="B219">
            <v>16585</v>
          </cell>
          <cell r="C219" t="str">
            <v>Y &amp; L Events</v>
          </cell>
          <cell r="F219">
            <v>103835.9</v>
          </cell>
          <cell r="G219">
            <v>0</v>
          </cell>
          <cell r="H219">
            <v>103835.9</v>
          </cell>
        </row>
        <row r="220">
          <cell r="B220">
            <v>16586</v>
          </cell>
          <cell r="C220" t="str">
            <v>Filming</v>
          </cell>
          <cell r="F220">
            <v>14223.5</v>
          </cell>
          <cell r="G220">
            <v>-27013.87</v>
          </cell>
          <cell r="H220">
            <v>-12790.369999999999</v>
          </cell>
        </row>
        <row r="221">
          <cell r="B221">
            <v>16587</v>
          </cell>
          <cell r="C221" t="str">
            <v>Fireworks</v>
          </cell>
          <cell r="F221">
            <v>347.21</v>
          </cell>
          <cell r="G221">
            <v>0</v>
          </cell>
          <cell r="H221">
            <v>347.21</v>
          </cell>
        </row>
        <row r="222">
          <cell r="B222">
            <v>16590</v>
          </cell>
          <cell r="C222" t="str">
            <v>Hillingdon Athletics Stadium</v>
          </cell>
          <cell r="F222">
            <v>84000</v>
          </cell>
          <cell r="G222">
            <v>0</v>
          </cell>
          <cell r="H222">
            <v>84000</v>
          </cell>
        </row>
        <row r="223">
          <cell r="B223">
            <v>16599</v>
          </cell>
          <cell r="C223" t="str">
            <v>Sports &amp; Rec-Redundy &amp; Severce</v>
          </cell>
          <cell r="F223">
            <v>3220.87</v>
          </cell>
          <cell r="G223">
            <v>0</v>
          </cell>
          <cell r="H223">
            <v>3220.87</v>
          </cell>
        </row>
        <row r="224">
          <cell r="B224">
            <v>16700</v>
          </cell>
          <cell r="C224" t="str">
            <v>Y&amp;C Senior Management Team</v>
          </cell>
          <cell r="F224">
            <v>545028.06000000006</v>
          </cell>
          <cell r="G224">
            <v>-310750.98</v>
          </cell>
          <cell r="H224">
            <v>234277.08000000007</v>
          </cell>
        </row>
        <row r="225">
          <cell r="B225">
            <v>16701</v>
          </cell>
          <cell r="C225" t="str">
            <v>Trainee Youth Workers</v>
          </cell>
          <cell r="F225">
            <v>11.58</v>
          </cell>
          <cell r="G225">
            <v>0</v>
          </cell>
          <cell r="H225">
            <v>11.58</v>
          </cell>
        </row>
        <row r="226">
          <cell r="B226">
            <v>16702</v>
          </cell>
          <cell r="C226" t="str">
            <v>Y&amp;C Admin &amp; Finance Team</v>
          </cell>
          <cell r="F226">
            <v>39.82</v>
          </cell>
          <cell r="G226">
            <v>0</v>
          </cell>
          <cell r="H226">
            <v>39.82</v>
          </cell>
        </row>
        <row r="227">
          <cell r="B227">
            <v>16703</v>
          </cell>
          <cell r="C227" t="str">
            <v>Y&amp;C Training &amp; Development</v>
          </cell>
          <cell r="F227">
            <v>100685.58</v>
          </cell>
          <cell r="G227">
            <v>0</v>
          </cell>
          <cell r="H227">
            <v>100685.58</v>
          </cell>
        </row>
        <row r="228">
          <cell r="B228">
            <v>16704</v>
          </cell>
          <cell r="C228" t="str">
            <v>Y&amp;C North Area Team</v>
          </cell>
          <cell r="F228">
            <v>27596.13</v>
          </cell>
          <cell r="G228">
            <v>-6299.4</v>
          </cell>
          <cell r="H228">
            <v>21296.730000000003</v>
          </cell>
        </row>
        <row r="229">
          <cell r="B229">
            <v>16705</v>
          </cell>
          <cell r="C229" t="str">
            <v>Y&amp;C East Area Team</v>
          </cell>
          <cell r="F229">
            <v>16687.13</v>
          </cell>
          <cell r="G229">
            <v>-2200</v>
          </cell>
          <cell r="H229">
            <v>14487.130000000001</v>
          </cell>
        </row>
        <row r="230">
          <cell r="B230">
            <v>16708</v>
          </cell>
          <cell r="C230" t="str">
            <v>Y&amp;C Accredited Learning Team</v>
          </cell>
          <cell r="F230">
            <v>106159.9</v>
          </cell>
          <cell r="G230">
            <v>-9509</v>
          </cell>
          <cell r="H230">
            <v>96650.9</v>
          </cell>
        </row>
        <row r="231">
          <cell r="B231">
            <v>16710</v>
          </cell>
          <cell r="C231" t="str">
            <v>HYART</v>
          </cell>
          <cell r="F231">
            <v>100148.77</v>
          </cell>
          <cell r="G231">
            <v>0</v>
          </cell>
          <cell r="H231">
            <v>100148.77</v>
          </cell>
        </row>
        <row r="232">
          <cell r="B232">
            <v>16711</v>
          </cell>
          <cell r="C232" t="str">
            <v>Cwm Pennant</v>
          </cell>
          <cell r="F232">
            <v>314301.56</v>
          </cell>
          <cell r="G232">
            <v>-242731.19</v>
          </cell>
          <cell r="H232">
            <v>71570.37</v>
          </cell>
        </row>
        <row r="233">
          <cell r="B233">
            <v>16713</v>
          </cell>
          <cell r="C233" t="str">
            <v>Narrow Boats</v>
          </cell>
          <cell r="F233">
            <v>46247.54</v>
          </cell>
          <cell r="G233">
            <v>0</v>
          </cell>
          <cell r="H233">
            <v>46247.54</v>
          </cell>
        </row>
        <row r="234">
          <cell r="B234">
            <v>16714</v>
          </cell>
          <cell r="C234" t="str">
            <v>H.O.A.C</v>
          </cell>
          <cell r="F234">
            <v>100.1</v>
          </cell>
          <cell r="G234">
            <v>0</v>
          </cell>
          <cell r="H234">
            <v>100.1</v>
          </cell>
        </row>
        <row r="235">
          <cell r="B235">
            <v>16715</v>
          </cell>
          <cell r="C235" t="str">
            <v>Harlington Youth Centre</v>
          </cell>
          <cell r="F235">
            <v>202068.57</v>
          </cell>
          <cell r="G235">
            <v>-4944.0600000000004</v>
          </cell>
          <cell r="H235">
            <v>197124.51</v>
          </cell>
        </row>
        <row r="236">
          <cell r="B236">
            <v>16717</v>
          </cell>
          <cell r="C236" t="str">
            <v>Fountains Mill Youth Centre</v>
          </cell>
          <cell r="F236">
            <v>209785.5</v>
          </cell>
          <cell r="G236">
            <v>-30086.55</v>
          </cell>
          <cell r="H236">
            <v>179698.95</v>
          </cell>
        </row>
        <row r="237">
          <cell r="B237">
            <v>16718</v>
          </cell>
          <cell r="C237" t="str">
            <v>Ruislip Youth Centre</v>
          </cell>
          <cell r="F237">
            <v>217337.32</v>
          </cell>
          <cell r="G237">
            <v>-5063.6000000000004</v>
          </cell>
          <cell r="H237">
            <v>212273.72</v>
          </cell>
        </row>
        <row r="238">
          <cell r="B238">
            <v>16719</v>
          </cell>
          <cell r="C238" t="str">
            <v>West Drayton Youth Centre</v>
          </cell>
          <cell r="F238">
            <v>182096.28</v>
          </cell>
          <cell r="G238">
            <v>-690</v>
          </cell>
          <cell r="H238">
            <v>181406.28</v>
          </cell>
        </row>
        <row r="239">
          <cell r="B239">
            <v>16720</v>
          </cell>
          <cell r="C239" t="str">
            <v>Preparation for life</v>
          </cell>
          <cell r="F239">
            <v>45575.15</v>
          </cell>
          <cell r="G239">
            <v>-7200</v>
          </cell>
          <cell r="H239">
            <v>38375.15</v>
          </cell>
        </row>
        <row r="240">
          <cell r="B240">
            <v>16721</v>
          </cell>
          <cell r="C240" t="str">
            <v>Mobile Team</v>
          </cell>
          <cell r="F240">
            <v>124010.97</v>
          </cell>
          <cell r="G240">
            <v>-20001</v>
          </cell>
          <cell r="H240">
            <v>104009.97</v>
          </cell>
        </row>
        <row r="241">
          <cell r="B241">
            <v>16722</v>
          </cell>
          <cell r="C241" t="str">
            <v>Holiday Schemes</v>
          </cell>
          <cell r="F241">
            <v>125766.23</v>
          </cell>
          <cell r="G241">
            <v>-23806.61</v>
          </cell>
          <cell r="H241">
            <v>101959.62</v>
          </cell>
        </row>
        <row r="242">
          <cell r="B242">
            <v>16724</v>
          </cell>
          <cell r="C242" t="str">
            <v>Positive Activities for Young Peop</v>
          </cell>
          <cell r="F242">
            <v>213942.2</v>
          </cell>
          <cell r="G242">
            <v>-208096.55</v>
          </cell>
          <cell r="H242">
            <v>5845.6500000000233</v>
          </cell>
        </row>
        <row r="243">
          <cell r="B243">
            <v>16727</v>
          </cell>
          <cell r="C243" t="str">
            <v>Barnhill Community Association</v>
          </cell>
          <cell r="F243">
            <v>914</v>
          </cell>
          <cell r="G243">
            <v>0</v>
          </cell>
          <cell r="H243">
            <v>914</v>
          </cell>
        </row>
        <row r="244">
          <cell r="B244">
            <v>16730</v>
          </cell>
          <cell r="C244" t="str">
            <v>Projects</v>
          </cell>
          <cell r="F244">
            <v>33526.99</v>
          </cell>
          <cell r="G244">
            <v>0</v>
          </cell>
          <cell r="H244">
            <v>33526.99</v>
          </cell>
        </row>
        <row r="245">
          <cell r="B245">
            <v>16731</v>
          </cell>
          <cell r="C245" t="str">
            <v>North Area PAYP</v>
          </cell>
          <cell r="F245">
            <v>31039.02</v>
          </cell>
          <cell r="G245">
            <v>-30984.75</v>
          </cell>
          <cell r="H245">
            <v>54.270000000000437</v>
          </cell>
        </row>
        <row r="246">
          <cell r="B246">
            <v>16732</v>
          </cell>
          <cell r="C246" t="str">
            <v>East Area PAYP</v>
          </cell>
          <cell r="F246">
            <v>39660.230000000003</v>
          </cell>
          <cell r="G246">
            <v>-39194.54</v>
          </cell>
          <cell r="H246">
            <v>465.69000000000233</v>
          </cell>
        </row>
        <row r="247">
          <cell r="B247">
            <v>16733</v>
          </cell>
          <cell r="C247" t="str">
            <v>Mobile Services PAYP</v>
          </cell>
          <cell r="F247">
            <v>16777.28</v>
          </cell>
          <cell r="G247">
            <v>-22921.13</v>
          </cell>
          <cell r="H247">
            <v>-6143.8500000000022</v>
          </cell>
        </row>
        <row r="248">
          <cell r="B248">
            <v>16750</v>
          </cell>
          <cell r="C248" t="str">
            <v>Voluntary Sector Support Team</v>
          </cell>
          <cell r="F248">
            <v>1974.2</v>
          </cell>
          <cell r="G248">
            <v>-181</v>
          </cell>
          <cell r="H248">
            <v>1793.2</v>
          </cell>
        </row>
        <row r="249">
          <cell r="B249">
            <v>16751</v>
          </cell>
          <cell r="C249" t="str">
            <v>Townfield Youth Centre</v>
          </cell>
          <cell r="F249">
            <v>6017.53</v>
          </cell>
          <cell r="G249">
            <v>0</v>
          </cell>
          <cell r="H249">
            <v>6017.53</v>
          </cell>
        </row>
        <row r="250">
          <cell r="B250">
            <v>16752</v>
          </cell>
          <cell r="C250" t="str">
            <v>Com Assoc Brookside</v>
          </cell>
          <cell r="F250">
            <v>50</v>
          </cell>
          <cell r="G250">
            <v>0</v>
          </cell>
          <cell r="H250">
            <v>50</v>
          </cell>
        </row>
        <row r="251">
          <cell r="B251">
            <v>16753</v>
          </cell>
          <cell r="C251" t="str">
            <v>Com Assoc - Eastcote</v>
          </cell>
          <cell r="F251">
            <v>35</v>
          </cell>
          <cell r="G251">
            <v>-226.38</v>
          </cell>
          <cell r="H251">
            <v>-191.38</v>
          </cell>
        </row>
        <row r="252">
          <cell r="B252">
            <v>16754</v>
          </cell>
          <cell r="C252" t="str">
            <v>Com Assoc - Harefield</v>
          </cell>
          <cell r="F252">
            <v>1286.3</v>
          </cell>
          <cell r="G252">
            <v>-150</v>
          </cell>
          <cell r="H252">
            <v>1136.3</v>
          </cell>
        </row>
        <row r="253">
          <cell r="B253">
            <v>16755</v>
          </cell>
          <cell r="C253" t="str">
            <v>Com Assoc - Harmondsworth</v>
          </cell>
          <cell r="F253">
            <v>38160</v>
          </cell>
          <cell r="G253">
            <v>0</v>
          </cell>
          <cell r="H253">
            <v>38160</v>
          </cell>
        </row>
        <row r="254">
          <cell r="B254">
            <v>16756</v>
          </cell>
          <cell r="C254" t="str">
            <v>Com Assoc - Hayes &amp; Harlington</v>
          </cell>
          <cell r="F254">
            <v>1035.48</v>
          </cell>
          <cell r="G254">
            <v>0</v>
          </cell>
          <cell r="H254">
            <v>1035.48</v>
          </cell>
        </row>
        <row r="255">
          <cell r="B255">
            <v>16757</v>
          </cell>
          <cell r="C255" t="str">
            <v>Com Assoc - Hillingdon</v>
          </cell>
          <cell r="F255">
            <v>2916.8</v>
          </cell>
          <cell r="G255">
            <v>0</v>
          </cell>
          <cell r="H255">
            <v>2916.8</v>
          </cell>
        </row>
        <row r="256">
          <cell r="B256">
            <v>16758</v>
          </cell>
          <cell r="C256" t="str">
            <v>Yeading Community Association</v>
          </cell>
          <cell r="F256">
            <v>7294</v>
          </cell>
          <cell r="G256">
            <v>-9186</v>
          </cell>
          <cell r="H256">
            <v>-1892</v>
          </cell>
        </row>
        <row r="257">
          <cell r="B257">
            <v>16759</v>
          </cell>
          <cell r="C257" t="str">
            <v>Com Assoc - South Ruislip</v>
          </cell>
          <cell r="F257">
            <v>2600</v>
          </cell>
          <cell r="G257">
            <v>0</v>
          </cell>
          <cell r="H257">
            <v>2600</v>
          </cell>
        </row>
        <row r="258">
          <cell r="B258">
            <v>16760</v>
          </cell>
          <cell r="C258" t="str">
            <v>Sipson Community Association</v>
          </cell>
          <cell r="F258">
            <v>2758</v>
          </cell>
          <cell r="G258">
            <v>0</v>
          </cell>
          <cell r="H258">
            <v>2758</v>
          </cell>
        </row>
        <row r="259">
          <cell r="B259">
            <v>16761</v>
          </cell>
          <cell r="C259" t="str">
            <v>Acorn Youth Club</v>
          </cell>
          <cell r="F259">
            <v>9075.81</v>
          </cell>
          <cell r="G259">
            <v>0</v>
          </cell>
          <cell r="H259">
            <v>9075.81</v>
          </cell>
        </row>
        <row r="260">
          <cell r="B260">
            <v>16766</v>
          </cell>
          <cell r="C260" t="str">
            <v>Cowley Community Association</v>
          </cell>
          <cell r="F260">
            <v>1785.53</v>
          </cell>
          <cell r="G260">
            <v>-10279.6</v>
          </cell>
          <cell r="H260">
            <v>-8494.07</v>
          </cell>
        </row>
        <row r="261">
          <cell r="B261">
            <v>16767</v>
          </cell>
          <cell r="C261" t="str">
            <v>Long Lane Community Assoc.</v>
          </cell>
          <cell r="F261">
            <v>2040</v>
          </cell>
          <cell r="G261">
            <v>-150</v>
          </cell>
          <cell r="H261">
            <v>1890</v>
          </cell>
        </row>
        <row r="262">
          <cell r="B262">
            <v>16777</v>
          </cell>
          <cell r="C262" t="str">
            <v>Botwell YC</v>
          </cell>
          <cell r="F262">
            <v>1288.23</v>
          </cell>
          <cell r="G262">
            <v>0</v>
          </cell>
          <cell r="H262">
            <v>1288.23</v>
          </cell>
        </row>
        <row r="263">
          <cell r="B263">
            <v>16780</v>
          </cell>
          <cell r="C263" t="str">
            <v>Brackenbridge Playgroup</v>
          </cell>
          <cell r="F263">
            <v>2469.91</v>
          </cell>
          <cell r="G263">
            <v>0</v>
          </cell>
          <cell r="H263">
            <v>2469.91</v>
          </cell>
        </row>
        <row r="264">
          <cell r="B264">
            <v>16781</v>
          </cell>
          <cell r="C264" t="str">
            <v>Townfield Playgroup</v>
          </cell>
          <cell r="F264">
            <v>208</v>
          </cell>
          <cell r="G264">
            <v>0</v>
          </cell>
          <cell r="H264">
            <v>208</v>
          </cell>
        </row>
        <row r="265">
          <cell r="B265">
            <v>16782</v>
          </cell>
          <cell r="C265" t="str">
            <v>Yeading Playgroup</v>
          </cell>
          <cell r="F265">
            <v>662.25</v>
          </cell>
          <cell r="G265">
            <v>0</v>
          </cell>
          <cell r="H265">
            <v>662.25</v>
          </cell>
        </row>
        <row r="266">
          <cell r="B266">
            <v>16783</v>
          </cell>
          <cell r="C266" t="str">
            <v>Youth Council Development Wkr</v>
          </cell>
          <cell r="F266">
            <v>58580.7</v>
          </cell>
          <cell r="G266">
            <v>-7608.9</v>
          </cell>
          <cell r="H266">
            <v>50971.799999999996</v>
          </cell>
        </row>
        <row r="267">
          <cell r="B267">
            <v>16787</v>
          </cell>
          <cell r="C267" t="str">
            <v>Youth Sports Devolopment</v>
          </cell>
          <cell r="F267">
            <v>151277.53</v>
          </cell>
          <cell r="G267">
            <v>-7359.81</v>
          </cell>
          <cell r="H267">
            <v>143917.72</v>
          </cell>
        </row>
        <row r="268">
          <cell r="B268">
            <v>16789</v>
          </cell>
          <cell r="C268" t="str">
            <v>Eastcote Youth Club</v>
          </cell>
          <cell r="F268">
            <v>4426.3999999999996</v>
          </cell>
          <cell r="G268">
            <v>0</v>
          </cell>
          <cell r="H268">
            <v>4426.3999999999996</v>
          </cell>
        </row>
        <row r="269">
          <cell r="B269">
            <v>16791</v>
          </cell>
          <cell r="C269" t="str">
            <v>London Youth Games</v>
          </cell>
          <cell r="F269">
            <v>13779.77</v>
          </cell>
          <cell r="G269">
            <v>405.11</v>
          </cell>
          <cell r="H269">
            <v>14184.880000000001</v>
          </cell>
        </row>
        <row r="270">
          <cell r="B270">
            <v>16792</v>
          </cell>
          <cell r="C270" t="str">
            <v>School Sports</v>
          </cell>
          <cell r="F270">
            <v>3584.72</v>
          </cell>
          <cell r="G270">
            <v>-724.15</v>
          </cell>
          <cell r="H270">
            <v>2860.5699999999997</v>
          </cell>
        </row>
        <row r="271">
          <cell r="B271">
            <v>16799</v>
          </cell>
          <cell r="C271" t="str">
            <v>Youth &amp; Comm-Redundy &amp; Severce</v>
          </cell>
          <cell r="F271">
            <v>3704.64</v>
          </cell>
          <cell r="G271">
            <v>0</v>
          </cell>
          <cell r="H271">
            <v>3704.64</v>
          </cell>
        </row>
        <row r="272">
          <cell r="B272">
            <v>16800</v>
          </cell>
          <cell r="C272" t="str">
            <v>Y&amp;L Management &amp; Support Costs</v>
          </cell>
          <cell r="F272">
            <v>271618.33</v>
          </cell>
          <cell r="G272">
            <v>0</v>
          </cell>
          <cell r="H272">
            <v>271618.33</v>
          </cell>
        </row>
        <row r="273">
          <cell r="B273">
            <v>16810</v>
          </cell>
          <cell r="C273" t="str">
            <v>Connex - Central Costs</v>
          </cell>
          <cell r="F273">
            <v>447792.77</v>
          </cell>
          <cell r="G273">
            <v>-2997125.1</v>
          </cell>
          <cell r="H273">
            <v>-2549332.33</v>
          </cell>
        </row>
        <row r="274">
          <cell r="B274">
            <v>16813</v>
          </cell>
          <cell r="C274" t="str">
            <v>Connex - Guide Company Contracts</v>
          </cell>
          <cell r="F274">
            <v>1756664</v>
          </cell>
          <cell r="G274">
            <v>0</v>
          </cell>
          <cell r="H274">
            <v>1756664</v>
          </cell>
        </row>
        <row r="275">
          <cell r="B275">
            <v>16814</v>
          </cell>
          <cell r="C275" t="str">
            <v>Connex - Local Auth Contracts</v>
          </cell>
          <cell r="F275">
            <v>309424.02</v>
          </cell>
          <cell r="G275">
            <v>0</v>
          </cell>
          <cell r="H275">
            <v>309424.02</v>
          </cell>
        </row>
        <row r="276">
          <cell r="B276">
            <v>16815</v>
          </cell>
          <cell r="C276" t="str">
            <v>Connex - Vol Sector Contracts</v>
          </cell>
          <cell r="F276">
            <v>218157.1</v>
          </cell>
          <cell r="G276">
            <v>0</v>
          </cell>
          <cell r="H276">
            <v>218157.1</v>
          </cell>
        </row>
        <row r="277">
          <cell r="B277">
            <v>16817</v>
          </cell>
          <cell r="C277" t="str">
            <v>Connex - LMC Budgets</v>
          </cell>
          <cell r="F277">
            <v>281562.83</v>
          </cell>
          <cell r="G277">
            <v>0</v>
          </cell>
          <cell r="H277">
            <v>281562.83</v>
          </cell>
        </row>
        <row r="278">
          <cell r="B278">
            <v>19500</v>
          </cell>
          <cell r="C278" t="str">
            <v>SL: Caravan Site</v>
          </cell>
          <cell r="F278">
            <v>104248.88</v>
          </cell>
          <cell r="G278">
            <v>-111936.71</v>
          </cell>
          <cell r="H278">
            <v>-7687.8300000000017</v>
          </cell>
        </row>
        <row r="279">
          <cell r="B279">
            <v>19502</v>
          </cell>
          <cell r="C279" t="str">
            <v>SL: Housing Options Team</v>
          </cell>
          <cell r="F279">
            <v>845228.65</v>
          </cell>
          <cell r="G279">
            <v>0</v>
          </cell>
          <cell r="H279">
            <v>845228.65</v>
          </cell>
        </row>
        <row r="280">
          <cell r="B280">
            <v>19504</v>
          </cell>
          <cell r="C280" t="str">
            <v>SL: B&amp;B Grant 02/03 - Temp Acc Sta</v>
          </cell>
          <cell r="F280">
            <v>400802.04</v>
          </cell>
          <cell r="G280">
            <v>-400802.04</v>
          </cell>
          <cell r="H280">
            <v>0</v>
          </cell>
        </row>
        <row r="281">
          <cell r="B281">
            <v>19505</v>
          </cell>
          <cell r="C281" t="str">
            <v>SL: B&amp;B Grant 02/03 - Furniture</v>
          </cell>
          <cell r="F281">
            <v>94757.75</v>
          </cell>
          <cell r="G281">
            <v>-94757.75</v>
          </cell>
          <cell r="H281">
            <v>0</v>
          </cell>
        </row>
        <row r="282">
          <cell r="B282">
            <v>19506</v>
          </cell>
          <cell r="C282" t="str">
            <v>SL: B&amp;B Grant 02/03 - Advice/Visit</v>
          </cell>
          <cell r="F282">
            <v>126650.86</v>
          </cell>
          <cell r="G282">
            <v>-126650.86</v>
          </cell>
          <cell r="H282">
            <v>0</v>
          </cell>
        </row>
        <row r="283">
          <cell r="B283">
            <v>19507</v>
          </cell>
          <cell r="C283" t="str">
            <v>SL: B&amp;B Grant 02/03 - Rent Waiver</v>
          </cell>
          <cell r="F283">
            <v>40</v>
          </cell>
          <cell r="G283">
            <v>-40</v>
          </cell>
          <cell r="H283">
            <v>0</v>
          </cell>
        </row>
        <row r="284">
          <cell r="B284">
            <v>19508</v>
          </cell>
          <cell r="C284" t="str">
            <v>SL: New PSLS - Orchard &amp; Shipman</v>
          </cell>
          <cell r="F284">
            <v>22839799.100000001</v>
          </cell>
          <cell r="G284">
            <v>-26492962.52</v>
          </cell>
          <cell r="H284">
            <v>-3653163.4199999981</v>
          </cell>
        </row>
        <row r="285">
          <cell r="B285">
            <v>19509</v>
          </cell>
          <cell r="C285" t="str">
            <v>SL: Discharge Of Duty Scheme</v>
          </cell>
          <cell r="F285">
            <v>573761.28000000003</v>
          </cell>
          <cell r="G285">
            <v>0</v>
          </cell>
          <cell r="H285">
            <v>573761.28000000003</v>
          </cell>
        </row>
        <row r="286">
          <cell r="B286">
            <v>19511</v>
          </cell>
          <cell r="C286" t="str">
            <v>SL: Homelessness - B&amp;B</v>
          </cell>
          <cell r="F286">
            <v>1872373.85</v>
          </cell>
          <cell r="G286">
            <v>-1444412.6</v>
          </cell>
          <cell r="H286">
            <v>427961.25</v>
          </cell>
        </row>
        <row r="287">
          <cell r="B287">
            <v>19513</v>
          </cell>
          <cell r="C287" t="str">
            <v>SL: Homelessness - Others</v>
          </cell>
          <cell r="F287">
            <v>884909.36</v>
          </cell>
          <cell r="G287">
            <v>0</v>
          </cell>
          <cell r="H287">
            <v>884909.36</v>
          </cell>
        </row>
        <row r="288">
          <cell r="B288">
            <v>19515</v>
          </cell>
          <cell r="C288" t="str">
            <v>SL: Void Transfer Scheme</v>
          </cell>
          <cell r="F288">
            <v>113406.03</v>
          </cell>
          <cell r="G288">
            <v>-51060</v>
          </cell>
          <cell r="H288">
            <v>62346.03</v>
          </cell>
        </row>
        <row r="289">
          <cell r="B289">
            <v>19516</v>
          </cell>
          <cell r="C289" t="str">
            <v>SL: H.A.M.A. &amp; H.A.L. Schemes</v>
          </cell>
          <cell r="F289">
            <v>768</v>
          </cell>
          <cell r="G289">
            <v>605.95000000000005</v>
          </cell>
          <cell r="H289">
            <v>1373.95</v>
          </cell>
        </row>
        <row r="290">
          <cell r="B290">
            <v>19519</v>
          </cell>
          <cell r="C290" t="str">
            <v>SL: Care And Repair</v>
          </cell>
          <cell r="F290">
            <v>94598</v>
          </cell>
          <cell r="G290">
            <v>-51630</v>
          </cell>
          <cell r="H290">
            <v>42968</v>
          </cell>
        </row>
        <row r="291">
          <cell r="B291">
            <v>19520</v>
          </cell>
          <cell r="C291" t="str">
            <v>SL: Benefits Administration Hb/Ctb</v>
          </cell>
          <cell r="F291">
            <v>4488891.5</v>
          </cell>
          <cell r="G291">
            <v>-1920395.25</v>
          </cell>
          <cell r="H291">
            <v>2568496.25</v>
          </cell>
        </row>
        <row r="292">
          <cell r="B292">
            <v>19521</v>
          </cell>
          <cell r="C292" t="str">
            <v>SL: Rent Allowance-Payments</v>
          </cell>
          <cell r="F292">
            <v>45566474.630000003</v>
          </cell>
          <cell r="G292">
            <v>-44392015</v>
          </cell>
          <cell r="H292">
            <v>1174459.6300000027</v>
          </cell>
        </row>
        <row r="293">
          <cell r="B293">
            <v>19522</v>
          </cell>
          <cell r="C293" t="str">
            <v>SL: NEW VISITING SERVICE</v>
          </cell>
          <cell r="F293">
            <v>115375.57</v>
          </cell>
          <cell r="G293">
            <v>-115375.57</v>
          </cell>
          <cell r="H293">
            <v>0</v>
          </cell>
        </row>
        <row r="294">
          <cell r="B294">
            <v>19523</v>
          </cell>
          <cell r="C294" t="str">
            <v>SL: Council Tax Benefits</v>
          </cell>
          <cell r="F294">
            <v>17855110.940000001</v>
          </cell>
          <cell r="G294">
            <v>-18011169</v>
          </cell>
          <cell r="H294">
            <v>-156058.05999999866</v>
          </cell>
        </row>
        <row r="295">
          <cell r="B295">
            <v>19525</v>
          </cell>
          <cell r="C295" t="str">
            <v>SL: Benefit Fraud &amp; Overpayments</v>
          </cell>
          <cell r="F295">
            <v>432124.37</v>
          </cell>
          <cell r="G295">
            <v>-351422.75</v>
          </cell>
          <cell r="H295">
            <v>80701.62</v>
          </cell>
        </row>
        <row r="296">
          <cell r="B296">
            <v>19526</v>
          </cell>
          <cell r="C296" t="str">
            <v>SL: Temporary Accommodation and So</v>
          </cell>
          <cell r="F296">
            <v>236202.34</v>
          </cell>
          <cell r="G296">
            <v>-1412341.05</v>
          </cell>
          <cell r="H296">
            <v>-1176138.71</v>
          </cell>
        </row>
        <row r="297">
          <cell r="B297">
            <v>19528</v>
          </cell>
          <cell r="C297" t="str">
            <v>SL: Rent Rebates w.e.f. 01/04/04</v>
          </cell>
          <cell r="F297">
            <v>27977710.52</v>
          </cell>
          <cell r="G297">
            <v>-27305130</v>
          </cell>
          <cell r="H297">
            <v>672580.51999999955</v>
          </cell>
        </row>
        <row r="298">
          <cell r="B298">
            <v>19529</v>
          </cell>
          <cell r="C298" t="str">
            <v>SL: Racial Harassment-Private Sect</v>
          </cell>
          <cell r="F298">
            <v>300577.02</v>
          </cell>
          <cell r="G298">
            <v>0</v>
          </cell>
          <cell r="H298">
            <v>300577.02</v>
          </cell>
        </row>
        <row r="299">
          <cell r="B299">
            <v>19530</v>
          </cell>
          <cell r="C299" t="str">
            <v>SL: Housing Advice Centre</v>
          </cell>
          <cell r="F299">
            <v>319944</v>
          </cell>
          <cell r="G299">
            <v>0</v>
          </cell>
          <cell r="H299">
            <v>319944</v>
          </cell>
        </row>
        <row r="300">
          <cell r="B300">
            <v>19531</v>
          </cell>
          <cell r="C300" t="str">
            <v>SL: Annington Homes (Ex-Mod)</v>
          </cell>
          <cell r="F300">
            <v>1719718.59</v>
          </cell>
          <cell r="G300">
            <v>-1850833.91</v>
          </cell>
          <cell r="H300">
            <v>-131115.31999999983</v>
          </cell>
        </row>
        <row r="301">
          <cell r="B301">
            <v>19532</v>
          </cell>
          <cell r="C301" t="str">
            <v>SL: Landlord Assurance Scheme</v>
          </cell>
          <cell r="F301">
            <v>693</v>
          </cell>
          <cell r="G301">
            <v>0</v>
          </cell>
          <cell r="H301">
            <v>693</v>
          </cell>
        </row>
        <row r="302">
          <cell r="B302">
            <v>19534</v>
          </cell>
          <cell r="C302" t="str">
            <v>SL: New PSLS - Acton</v>
          </cell>
          <cell r="F302">
            <v>6825904.3899999997</v>
          </cell>
          <cell r="G302">
            <v>-7821290.1200000001</v>
          </cell>
          <cell r="H302">
            <v>-995385.73000000045</v>
          </cell>
        </row>
        <row r="303">
          <cell r="B303">
            <v>19535</v>
          </cell>
          <cell r="C303" t="str">
            <v>SL: Housing Development Group</v>
          </cell>
          <cell r="F303">
            <v>522407.62</v>
          </cell>
          <cell r="G303">
            <v>-258400.59</v>
          </cell>
          <cell r="H303">
            <v>264007.03000000003</v>
          </cell>
        </row>
        <row r="304">
          <cell r="B304">
            <v>19536</v>
          </cell>
          <cell r="C304" t="str">
            <v>SL: Research &amp; Information Grf</v>
          </cell>
          <cell r="F304">
            <v>12743.19</v>
          </cell>
          <cell r="G304">
            <v>0</v>
          </cell>
          <cell r="H304">
            <v>12743.19</v>
          </cell>
        </row>
        <row r="305">
          <cell r="B305">
            <v>19537</v>
          </cell>
          <cell r="C305" t="str">
            <v>SL: Indefinite Leave to Remain Pro</v>
          </cell>
          <cell r="F305">
            <v>118470.89</v>
          </cell>
          <cell r="G305">
            <v>-184295.01</v>
          </cell>
          <cell r="H305">
            <v>-65824.12000000001</v>
          </cell>
        </row>
        <row r="306">
          <cell r="B306">
            <v>19539</v>
          </cell>
          <cell r="C306" t="str">
            <v>SL: New PSLS - Frays</v>
          </cell>
          <cell r="F306">
            <v>8022676.2000000002</v>
          </cell>
          <cell r="G306">
            <v>-9308919.6099999994</v>
          </cell>
          <cell r="H306">
            <v>-1286243.4099999992</v>
          </cell>
        </row>
        <row r="307">
          <cell r="B307">
            <v>19540</v>
          </cell>
          <cell r="C307" t="str">
            <v>SL: Private Sector Team</v>
          </cell>
          <cell r="F307">
            <v>1261773.72</v>
          </cell>
          <cell r="G307">
            <v>-210394.35</v>
          </cell>
          <cell r="H307">
            <v>1051379.3699999999</v>
          </cell>
        </row>
        <row r="308">
          <cell r="B308">
            <v>19541</v>
          </cell>
          <cell r="C308" t="str">
            <v>SL: Energy Conservation</v>
          </cell>
          <cell r="F308">
            <v>133452.70000000001</v>
          </cell>
          <cell r="G308">
            <v>-107018</v>
          </cell>
          <cell r="H308">
            <v>26434.700000000012</v>
          </cell>
        </row>
        <row r="309">
          <cell r="B309">
            <v>19543</v>
          </cell>
          <cell r="C309" t="str">
            <v>SL: HOPE Energy Link Project</v>
          </cell>
          <cell r="F309">
            <v>-165</v>
          </cell>
          <cell r="G309">
            <v>0</v>
          </cell>
          <cell r="H309">
            <v>-165</v>
          </cell>
        </row>
        <row r="310">
          <cell r="B310">
            <v>19546</v>
          </cell>
          <cell r="C310" t="str">
            <v>SL: Works In Default</v>
          </cell>
          <cell r="F310">
            <v>-6692.39</v>
          </cell>
          <cell r="G310">
            <v>0</v>
          </cell>
          <cell r="H310">
            <v>-6692.39</v>
          </cell>
        </row>
        <row r="311">
          <cell r="B311">
            <v>19547</v>
          </cell>
          <cell r="C311" t="str">
            <v>SL: Noise Service</v>
          </cell>
          <cell r="F311">
            <v>262085.96</v>
          </cell>
          <cell r="G311">
            <v>-24999.98</v>
          </cell>
          <cell r="H311">
            <v>237085.97999999998</v>
          </cell>
        </row>
        <row r="312">
          <cell r="B312">
            <v>19549</v>
          </cell>
          <cell r="C312" t="str">
            <v>SL: SANCTUARY SCHEME</v>
          </cell>
          <cell r="F312">
            <v>7624.5</v>
          </cell>
          <cell r="G312">
            <v>0</v>
          </cell>
          <cell r="H312">
            <v>7624.5</v>
          </cell>
        </row>
        <row r="313">
          <cell r="B313">
            <v>19550</v>
          </cell>
          <cell r="C313" t="str">
            <v>SL: Housing Other Grf</v>
          </cell>
          <cell r="F313">
            <v>1675677.31</v>
          </cell>
          <cell r="G313">
            <v>0</v>
          </cell>
          <cell r="H313">
            <v>1675677.31</v>
          </cell>
        </row>
        <row r="314">
          <cell r="B314">
            <v>19551</v>
          </cell>
          <cell r="C314" t="str">
            <v>SL: Careline Private</v>
          </cell>
          <cell r="F314">
            <v>237359.05</v>
          </cell>
          <cell r="G314">
            <v>-124010.11</v>
          </cell>
          <cell r="H314">
            <v>113348.93999999999</v>
          </cell>
        </row>
        <row r="315">
          <cell r="B315">
            <v>19552</v>
          </cell>
          <cell r="C315" t="str">
            <v>SL: Service Strategy And Regulatn</v>
          </cell>
          <cell r="F315">
            <v>16975.23</v>
          </cell>
          <cell r="G315">
            <v>89941.85</v>
          </cell>
          <cell r="H315">
            <v>106917.08</v>
          </cell>
        </row>
        <row r="316">
          <cell r="B316">
            <v>19553</v>
          </cell>
          <cell r="C316" t="str">
            <v>SL: Grounds Maintenance G.F.</v>
          </cell>
          <cell r="F316">
            <v>82468.77</v>
          </cell>
          <cell r="G316">
            <v>0</v>
          </cell>
          <cell r="H316">
            <v>82468.77</v>
          </cell>
        </row>
        <row r="317">
          <cell r="B317">
            <v>19554</v>
          </cell>
          <cell r="C317" t="str">
            <v>SL: Supporting People Program</v>
          </cell>
          <cell r="F317">
            <v>6382685.6399999997</v>
          </cell>
          <cell r="G317">
            <v>-6382685.6399999997</v>
          </cell>
          <cell r="H317">
            <v>0</v>
          </cell>
        </row>
        <row r="318">
          <cell r="B318">
            <v>19555</v>
          </cell>
          <cell r="C318" t="str">
            <v>SL: Supporting People Administrati</v>
          </cell>
          <cell r="F318">
            <v>311885.03999999998</v>
          </cell>
          <cell r="G318">
            <v>-161053.59</v>
          </cell>
          <cell r="H318">
            <v>150831.44999999998</v>
          </cell>
        </row>
        <row r="319">
          <cell r="B319">
            <v>19556</v>
          </cell>
          <cell r="C319" t="str">
            <v>SL: HOUSING/SOCIAL SERVICES INTEGR</v>
          </cell>
          <cell r="F319">
            <v>11.19</v>
          </cell>
          <cell r="G319">
            <v>0</v>
          </cell>
          <cell r="H319">
            <v>11.19</v>
          </cell>
        </row>
        <row r="320">
          <cell r="B320">
            <v>19558</v>
          </cell>
          <cell r="C320" t="str">
            <v>SL: Support Services Admin - GF</v>
          </cell>
          <cell r="F320">
            <v>82308.78</v>
          </cell>
          <cell r="G320">
            <v>-22700</v>
          </cell>
          <cell r="H320">
            <v>59608.78</v>
          </cell>
        </row>
        <row r="321">
          <cell r="B321">
            <v>19560</v>
          </cell>
          <cell r="C321" t="str">
            <v>SL: Strategy Team - GF</v>
          </cell>
          <cell r="F321">
            <v>65</v>
          </cell>
          <cell r="G321">
            <v>0</v>
          </cell>
          <cell r="H321">
            <v>65</v>
          </cell>
        </row>
        <row r="322">
          <cell r="B322">
            <v>19561</v>
          </cell>
          <cell r="C322" t="str">
            <v>SL: Mediation - GF</v>
          </cell>
          <cell r="F322">
            <v>47105.52</v>
          </cell>
          <cell r="G322">
            <v>0</v>
          </cell>
          <cell r="H322">
            <v>47105.52</v>
          </cell>
        </row>
        <row r="323">
          <cell r="B323">
            <v>19562</v>
          </cell>
          <cell r="C323" t="str">
            <v>SL: Housing Past Pensions Service</v>
          </cell>
          <cell r="F323">
            <v>8004.77</v>
          </cell>
          <cell r="G323">
            <v>0</v>
          </cell>
          <cell r="H323">
            <v>8004.77</v>
          </cell>
        </row>
        <row r="324">
          <cell r="B324">
            <v>20100</v>
          </cell>
          <cell r="C324" t="str">
            <v>Macmillan Nursery</v>
          </cell>
          <cell r="F324">
            <v>610055.23</v>
          </cell>
          <cell r="G324">
            <v>-97631.15</v>
          </cell>
          <cell r="H324">
            <v>512424.07999999996</v>
          </cell>
        </row>
        <row r="325">
          <cell r="B325">
            <v>20101</v>
          </cell>
          <cell r="C325" t="str">
            <v>Belmore Primary</v>
          </cell>
          <cell r="F325">
            <v>1952999.5</v>
          </cell>
          <cell r="G325">
            <v>-44942.02</v>
          </cell>
          <cell r="H325">
            <v>1908057.48</v>
          </cell>
        </row>
        <row r="326">
          <cell r="B326">
            <v>20102</v>
          </cell>
          <cell r="C326" t="str">
            <v>Bishop Winnington Ingram</v>
          </cell>
          <cell r="F326">
            <v>1332420.6399999999</v>
          </cell>
          <cell r="G326">
            <v>-82702.92</v>
          </cell>
          <cell r="H326">
            <v>1249717.72</v>
          </cell>
        </row>
        <row r="327">
          <cell r="B327">
            <v>20103</v>
          </cell>
          <cell r="C327" t="str">
            <v>Botwell Rc Primary</v>
          </cell>
          <cell r="F327">
            <v>1844953.21</v>
          </cell>
          <cell r="G327">
            <v>-37524.589999999997</v>
          </cell>
          <cell r="H327">
            <v>1807428.6199999999</v>
          </cell>
        </row>
        <row r="328">
          <cell r="B328">
            <v>20104</v>
          </cell>
          <cell r="C328" t="str">
            <v>Bourne Primary</v>
          </cell>
          <cell r="F328">
            <v>743357.45</v>
          </cell>
          <cell r="G328">
            <v>-8845.15</v>
          </cell>
          <cell r="H328">
            <v>734512.29999999993</v>
          </cell>
        </row>
        <row r="329">
          <cell r="B329">
            <v>20105</v>
          </cell>
          <cell r="C329" t="str">
            <v>Breakspear Infants</v>
          </cell>
          <cell r="F329">
            <v>1016970.66</v>
          </cell>
          <cell r="G329">
            <v>-14226.6</v>
          </cell>
          <cell r="H329">
            <v>1002744.06</v>
          </cell>
        </row>
        <row r="330">
          <cell r="B330">
            <v>20106</v>
          </cell>
          <cell r="C330" t="str">
            <v>Breakspear Junior</v>
          </cell>
          <cell r="F330">
            <v>1110071.1599999999</v>
          </cell>
          <cell r="G330">
            <v>-84978.73</v>
          </cell>
          <cell r="H330">
            <v>1025092.4299999999</v>
          </cell>
        </row>
        <row r="331">
          <cell r="B331">
            <v>20107</v>
          </cell>
          <cell r="C331" t="str">
            <v>Brookside Primary</v>
          </cell>
          <cell r="F331">
            <v>1427420.49</v>
          </cell>
          <cell r="G331">
            <v>-34621.279999999999</v>
          </cell>
          <cell r="H331">
            <v>1392799.21</v>
          </cell>
        </row>
        <row r="332">
          <cell r="B332">
            <v>20109</v>
          </cell>
          <cell r="C332" t="str">
            <v>Charville Primary</v>
          </cell>
          <cell r="F332">
            <v>1568685</v>
          </cell>
          <cell r="G332">
            <v>-92873</v>
          </cell>
          <cell r="H332">
            <v>1475812</v>
          </cell>
        </row>
        <row r="333">
          <cell r="B333">
            <v>20111</v>
          </cell>
          <cell r="C333" t="str">
            <v>Cherry Lane Primary</v>
          </cell>
          <cell r="F333">
            <v>1487036.59</v>
          </cell>
          <cell r="G333">
            <v>-56934.78</v>
          </cell>
          <cell r="H333">
            <v>1430101.81</v>
          </cell>
        </row>
        <row r="334">
          <cell r="B334">
            <v>20112</v>
          </cell>
          <cell r="C334" t="str">
            <v>Colham Manor Infants</v>
          </cell>
          <cell r="F334">
            <v>1725038.93</v>
          </cell>
          <cell r="G334">
            <v>-29200.94</v>
          </cell>
          <cell r="H334">
            <v>1695837.99</v>
          </cell>
        </row>
        <row r="335">
          <cell r="B335">
            <v>20114</v>
          </cell>
          <cell r="C335" t="str">
            <v>Coteford Infants</v>
          </cell>
          <cell r="F335">
            <v>1019545.67</v>
          </cell>
          <cell r="G335">
            <v>-62932.24</v>
          </cell>
          <cell r="H335">
            <v>956613.43</v>
          </cell>
        </row>
        <row r="336">
          <cell r="B336">
            <v>20115</v>
          </cell>
          <cell r="C336" t="str">
            <v>Coteford Junior</v>
          </cell>
          <cell r="F336">
            <v>1322203.31</v>
          </cell>
          <cell r="G336">
            <v>-97105.78</v>
          </cell>
          <cell r="H336">
            <v>1225097.53</v>
          </cell>
        </row>
        <row r="337">
          <cell r="B337">
            <v>20116</v>
          </cell>
          <cell r="C337" t="str">
            <v>Cowley Infants</v>
          </cell>
          <cell r="F337">
            <v>1409206.99</v>
          </cell>
          <cell r="G337">
            <v>-51658</v>
          </cell>
          <cell r="H337">
            <v>1357548.99</v>
          </cell>
        </row>
        <row r="338">
          <cell r="B338">
            <v>20118</v>
          </cell>
          <cell r="C338" t="str">
            <v>Cranford Park Primary</v>
          </cell>
          <cell r="F338">
            <v>2459295.42</v>
          </cell>
          <cell r="G338">
            <v>-63961.38</v>
          </cell>
          <cell r="H338">
            <v>2395334.04</v>
          </cell>
        </row>
        <row r="339">
          <cell r="B339">
            <v>20119</v>
          </cell>
          <cell r="C339" t="str">
            <v>Deanesfield Primary</v>
          </cell>
          <cell r="F339">
            <v>1927351.35</v>
          </cell>
          <cell r="G339">
            <v>-27720.12</v>
          </cell>
          <cell r="H339">
            <v>1899631.23</v>
          </cell>
        </row>
        <row r="340">
          <cell r="B340">
            <v>20120</v>
          </cell>
          <cell r="C340" t="str">
            <v>Dr Tripletts Primary</v>
          </cell>
          <cell r="F340">
            <v>1454809.83</v>
          </cell>
          <cell r="G340">
            <v>-30336.81</v>
          </cell>
          <cell r="H340">
            <v>1424473.02</v>
          </cell>
        </row>
        <row r="341">
          <cell r="B341">
            <v>20121</v>
          </cell>
          <cell r="C341" t="str">
            <v>Field End Infants</v>
          </cell>
          <cell r="F341">
            <v>1141090.1499999999</v>
          </cell>
          <cell r="G341">
            <v>-23939.94</v>
          </cell>
          <cell r="H341">
            <v>1117150.21</v>
          </cell>
        </row>
        <row r="342">
          <cell r="B342">
            <v>20122</v>
          </cell>
          <cell r="C342" t="str">
            <v>Field End Junior</v>
          </cell>
          <cell r="F342">
            <v>1260935.1599999999</v>
          </cell>
          <cell r="G342">
            <v>-70390.490000000005</v>
          </cell>
          <cell r="H342">
            <v>1190544.67</v>
          </cell>
        </row>
        <row r="343">
          <cell r="B343">
            <v>20123</v>
          </cell>
          <cell r="C343" t="str">
            <v>Frithwood Primary</v>
          </cell>
          <cell r="F343">
            <v>1284607.75</v>
          </cell>
          <cell r="G343">
            <v>-42015.58</v>
          </cell>
          <cell r="H343">
            <v>1242592.17</v>
          </cell>
        </row>
        <row r="344">
          <cell r="B344">
            <v>20124</v>
          </cell>
          <cell r="C344" t="str">
            <v>Glebe Primary</v>
          </cell>
          <cell r="F344">
            <v>1158743.43</v>
          </cell>
          <cell r="G344">
            <v>-45025.59</v>
          </cell>
          <cell r="H344">
            <v>1113717.8399999999</v>
          </cell>
        </row>
        <row r="345">
          <cell r="B345">
            <v>20125</v>
          </cell>
          <cell r="C345" t="str">
            <v>Grange Park Infants</v>
          </cell>
          <cell r="F345">
            <v>1239933.42</v>
          </cell>
          <cell r="G345">
            <v>-88321.03</v>
          </cell>
          <cell r="H345">
            <v>1151612.3899999999</v>
          </cell>
        </row>
        <row r="346">
          <cell r="B346">
            <v>20126</v>
          </cell>
          <cell r="C346" t="str">
            <v>Grange Park Junior</v>
          </cell>
          <cell r="F346">
            <v>1226338.17</v>
          </cell>
          <cell r="G346">
            <v>-27664.23</v>
          </cell>
          <cell r="H346">
            <v>1198673.94</v>
          </cell>
        </row>
        <row r="347">
          <cell r="B347">
            <v>20127</v>
          </cell>
          <cell r="C347" t="str">
            <v>Harefield Infants</v>
          </cell>
          <cell r="F347">
            <v>801427.5</v>
          </cell>
          <cell r="G347">
            <v>-18084.21</v>
          </cell>
          <cell r="H347">
            <v>783343.29</v>
          </cell>
        </row>
        <row r="348">
          <cell r="B348">
            <v>20128</v>
          </cell>
          <cell r="C348" t="str">
            <v>Harefield Junior</v>
          </cell>
          <cell r="F348">
            <v>927895.32</v>
          </cell>
          <cell r="G348">
            <v>-33512.99</v>
          </cell>
          <cell r="H348">
            <v>894382.33</v>
          </cell>
        </row>
        <row r="349">
          <cell r="B349">
            <v>20129</v>
          </cell>
          <cell r="C349" t="str">
            <v>Harlyn Primary</v>
          </cell>
          <cell r="F349">
            <v>1282146.83</v>
          </cell>
          <cell r="G349">
            <v>-48980.28</v>
          </cell>
          <cell r="H349">
            <v>1233166.55</v>
          </cell>
        </row>
        <row r="350">
          <cell r="B350">
            <v>20130</v>
          </cell>
          <cell r="C350" t="str">
            <v>Harmondsworth Primary</v>
          </cell>
          <cell r="F350">
            <v>835502.35</v>
          </cell>
          <cell r="G350">
            <v>-57186</v>
          </cell>
          <cell r="H350">
            <v>778316.35</v>
          </cell>
        </row>
        <row r="351">
          <cell r="B351">
            <v>20132</v>
          </cell>
          <cell r="C351" t="str">
            <v>Hayes Park Primary</v>
          </cell>
          <cell r="F351">
            <v>2375930</v>
          </cell>
          <cell r="G351">
            <v>-94778</v>
          </cell>
          <cell r="H351">
            <v>2281152</v>
          </cell>
        </row>
        <row r="352">
          <cell r="B352">
            <v>20133</v>
          </cell>
          <cell r="C352" t="str">
            <v>Heathrow Primary</v>
          </cell>
          <cell r="F352">
            <v>1038052.44</v>
          </cell>
          <cell r="G352">
            <v>-14117.58</v>
          </cell>
          <cell r="H352">
            <v>1023934.86</v>
          </cell>
        </row>
        <row r="353">
          <cell r="B353">
            <v>20134</v>
          </cell>
          <cell r="C353" t="str">
            <v>Hermitage Primary</v>
          </cell>
          <cell r="F353">
            <v>837664.75</v>
          </cell>
          <cell r="G353">
            <v>-29219</v>
          </cell>
          <cell r="H353">
            <v>808445.75</v>
          </cell>
        </row>
        <row r="354">
          <cell r="B354">
            <v>20135</v>
          </cell>
          <cell r="C354" t="str">
            <v>Highfield Primary</v>
          </cell>
          <cell r="F354">
            <v>968895.91</v>
          </cell>
          <cell r="G354">
            <v>-26216.04</v>
          </cell>
          <cell r="H354">
            <v>942679.87</v>
          </cell>
        </row>
        <row r="355">
          <cell r="B355">
            <v>20136</v>
          </cell>
          <cell r="C355" t="str">
            <v>Hillingdon Primary</v>
          </cell>
          <cell r="F355">
            <v>1540658.14</v>
          </cell>
          <cell r="G355">
            <v>-8110</v>
          </cell>
          <cell r="H355">
            <v>1532548.14</v>
          </cell>
        </row>
        <row r="356">
          <cell r="B356">
            <v>20138</v>
          </cell>
          <cell r="C356" t="str">
            <v>Hillside Infants</v>
          </cell>
          <cell r="F356">
            <v>792502.15</v>
          </cell>
          <cell r="G356">
            <v>-22441.11</v>
          </cell>
          <cell r="H356">
            <v>770061.04</v>
          </cell>
        </row>
        <row r="357">
          <cell r="B357">
            <v>20139</v>
          </cell>
          <cell r="C357" t="str">
            <v>Hillside Junior</v>
          </cell>
          <cell r="F357">
            <v>798665.67</v>
          </cell>
          <cell r="G357">
            <v>-27296.7</v>
          </cell>
          <cell r="H357">
            <v>771368.97000000009</v>
          </cell>
        </row>
        <row r="358">
          <cell r="B358">
            <v>20140</v>
          </cell>
          <cell r="C358" t="str">
            <v>Holy Trinity Primary</v>
          </cell>
          <cell r="F358">
            <v>819500.71</v>
          </cell>
          <cell r="G358">
            <v>-34537.31</v>
          </cell>
          <cell r="H358">
            <v>784963.39999999991</v>
          </cell>
        </row>
        <row r="359">
          <cell r="B359">
            <v>20141</v>
          </cell>
          <cell r="C359" t="str">
            <v>Lady Bankes Infants</v>
          </cell>
          <cell r="F359">
            <v>1017209.97</v>
          </cell>
          <cell r="G359">
            <v>-25648.34</v>
          </cell>
          <cell r="H359">
            <v>991561.63</v>
          </cell>
        </row>
        <row r="360">
          <cell r="B360">
            <v>20142</v>
          </cell>
          <cell r="C360" t="str">
            <v>Lady Bankes Junior</v>
          </cell>
          <cell r="F360">
            <v>1038027.37</v>
          </cell>
          <cell r="G360">
            <v>-88706.31</v>
          </cell>
          <cell r="H360">
            <v>949321.06</v>
          </cell>
        </row>
        <row r="361">
          <cell r="B361">
            <v>20143</v>
          </cell>
          <cell r="C361" t="str">
            <v>Longmead Primary</v>
          </cell>
          <cell r="F361">
            <v>1036930.46</v>
          </cell>
          <cell r="G361">
            <v>-97327.71</v>
          </cell>
          <cell r="H361">
            <v>939602.75</v>
          </cell>
        </row>
        <row r="362">
          <cell r="B362">
            <v>20145</v>
          </cell>
          <cell r="C362" t="str">
            <v>Minet Infants</v>
          </cell>
          <cell r="F362">
            <v>1527390.22</v>
          </cell>
          <cell r="G362">
            <v>-29241</v>
          </cell>
          <cell r="H362">
            <v>1498149.22</v>
          </cell>
        </row>
        <row r="363">
          <cell r="B363">
            <v>20146</v>
          </cell>
          <cell r="C363" t="str">
            <v>Minet Junior</v>
          </cell>
          <cell r="F363">
            <v>1638553.15</v>
          </cell>
          <cell r="G363">
            <v>-29550.67</v>
          </cell>
          <cell r="H363">
            <v>1609002.48</v>
          </cell>
        </row>
        <row r="364">
          <cell r="B364">
            <v>20147</v>
          </cell>
          <cell r="C364" t="str">
            <v>Newnham Infants</v>
          </cell>
          <cell r="F364">
            <v>947332.45</v>
          </cell>
          <cell r="G364">
            <v>-13950.29</v>
          </cell>
          <cell r="H364">
            <v>933382.15999999992</v>
          </cell>
        </row>
        <row r="365">
          <cell r="B365">
            <v>20148</v>
          </cell>
          <cell r="C365" t="str">
            <v>Newnham Junior</v>
          </cell>
          <cell r="F365">
            <v>987474.83</v>
          </cell>
          <cell r="G365">
            <v>-44699.8</v>
          </cell>
          <cell r="H365">
            <v>942775.02999999991</v>
          </cell>
        </row>
        <row r="366">
          <cell r="B366">
            <v>20149</v>
          </cell>
          <cell r="C366" t="str">
            <v>Oak Farm Infants</v>
          </cell>
          <cell r="F366">
            <v>1034745</v>
          </cell>
          <cell r="G366">
            <v>-18592</v>
          </cell>
          <cell r="H366">
            <v>1016153</v>
          </cell>
        </row>
        <row r="367">
          <cell r="B367">
            <v>20150</v>
          </cell>
          <cell r="C367" t="str">
            <v>Oak Farm Junior</v>
          </cell>
          <cell r="F367">
            <v>1207637.6299999999</v>
          </cell>
          <cell r="G367">
            <v>-39961.019999999997</v>
          </cell>
          <cell r="H367">
            <v>1167676.6099999999</v>
          </cell>
        </row>
        <row r="368">
          <cell r="B368">
            <v>20152</v>
          </cell>
          <cell r="C368" t="str">
            <v>Pinkwell Primary</v>
          </cell>
          <cell r="F368">
            <v>2686910.48</v>
          </cell>
          <cell r="G368">
            <v>-74485.83</v>
          </cell>
          <cell r="H368">
            <v>2612424.65</v>
          </cell>
        </row>
        <row r="369">
          <cell r="B369">
            <v>20153</v>
          </cell>
          <cell r="C369" t="str">
            <v>Rabbsfarm Primary</v>
          </cell>
          <cell r="F369">
            <v>1273301.33</v>
          </cell>
          <cell r="G369">
            <v>-40390</v>
          </cell>
          <cell r="H369">
            <v>1232911.33</v>
          </cell>
        </row>
        <row r="370">
          <cell r="B370">
            <v>20154</v>
          </cell>
          <cell r="C370" t="str">
            <v>Ruislip Gardens Primary</v>
          </cell>
          <cell r="F370">
            <v>1276939.24</v>
          </cell>
          <cell r="G370">
            <v>-63918.91</v>
          </cell>
          <cell r="H370">
            <v>1213020.33</v>
          </cell>
        </row>
        <row r="371">
          <cell r="B371">
            <v>20156</v>
          </cell>
          <cell r="C371" t="str">
            <v>Ryefield Primary</v>
          </cell>
          <cell r="F371">
            <v>1472228.23</v>
          </cell>
          <cell r="G371">
            <v>-26469.67</v>
          </cell>
          <cell r="H371">
            <v>1445758.56</v>
          </cell>
        </row>
        <row r="372">
          <cell r="B372">
            <v>20157</v>
          </cell>
          <cell r="C372" t="str">
            <v>Sacred Heart Primary</v>
          </cell>
          <cell r="F372">
            <v>1484276.46</v>
          </cell>
          <cell r="G372">
            <v>-7457.75</v>
          </cell>
          <cell r="H372">
            <v>1476818.71</v>
          </cell>
        </row>
        <row r="373">
          <cell r="B373">
            <v>20158</v>
          </cell>
          <cell r="C373" t="str">
            <v>St Andrew'S Primary</v>
          </cell>
          <cell r="F373">
            <v>788597.71</v>
          </cell>
          <cell r="G373">
            <v>-15513.02</v>
          </cell>
          <cell r="H373">
            <v>773084.69</v>
          </cell>
        </row>
        <row r="374">
          <cell r="B374">
            <v>20159</v>
          </cell>
          <cell r="C374" t="str">
            <v>St Bernadette'S Primary</v>
          </cell>
          <cell r="F374">
            <v>1400384.02</v>
          </cell>
          <cell r="G374">
            <v>-127737.41</v>
          </cell>
          <cell r="H374">
            <v>1272646.6100000001</v>
          </cell>
        </row>
        <row r="375">
          <cell r="B375">
            <v>20160</v>
          </cell>
          <cell r="C375" t="str">
            <v>St Catherine'S Primary</v>
          </cell>
          <cell r="F375">
            <v>818393.23</v>
          </cell>
          <cell r="G375">
            <v>-24682.53</v>
          </cell>
          <cell r="H375">
            <v>793710.7</v>
          </cell>
        </row>
        <row r="376">
          <cell r="B376">
            <v>20162</v>
          </cell>
          <cell r="C376" t="str">
            <v>St Mary'S Primary</v>
          </cell>
          <cell r="F376">
            <v>737752.43</v>
          </cell>
          <cell r="G376">
            <v>-10140</v>
          </cell>
          <cell r="H376">
            <v>727612.43</v>
          </cell>
        </row>
        <row r="377">
          <cell r="B377">
            <v>20163</v>
          </cell>
          <cell r="C377" t="str">
            <v>St Matthew'S Primary</v>
          </cell>
          <cell r="F377">
            <v>1564040.53</v>
          </cell>
          <cell r="G377">
            <v>-73772.7</v>
          </cell>
          <cell r="H377">
            <v>1490267.83</v>
          </cell>
        </row>
        <row r="378">
          <cell r="B378">
            <v>20164</v>
          </cell>
          <cell r="C378" t="str">
            <v>St Swithin Wells Primary</v>
          </cell>
          <cell r="F378">
            <v>811519.94</v>
          </cell>
          <cell r="G378">
            <v>-42433.279999999999</v>
          </cell>
          <cell r="H378">
            <v>769086.65999999992</v>
          </cell>
        </row>
        <row r="379">
          <cell r="B379">
            <v>20165</v>
          </cell>
          <cell r="C379" t="str">
            <v>Warrender Primary</v>
          </cell>
          <cell r="F379">
            <v>787892.06</v>
          </cell>
          <cell r="G379">
            <v>-40934.1</v>
          </cell>
          <cell r="H379">
            <v>746957.96000000008</v>
          </cell>
        </row>
        <row r="380">
          <cell r="B380">
            <v>20166</v>
          </cell>
          <cell r="C380" t="str">
            <v>West Drayton Primary</v>
          </cell>
          <cell r="F380">
            <v>1802985.71</v>
          </cell>
          <cell r="G380">
            <v>-40779.17</v>
          </cell>
          <cell r="H380">
            <v>1762206.54</v>
          </cell>
        </row>
        <row r="381">
          <cell r="B381">
            <v>20167</v>
          </cell>
          <cell r="C381" t="str">
            <v>Whitehall Infants</v>
          </cell>
          <cell r="F381">
            <v>1041254.07</v>
          </cell>
          <cell r="G381">
            <v>-14263.45</v>
          </cell>
          <cell r="H381">
            <v>1026990.62</v>
          </cell>
        </row>
        <row r="382">
          <cell r="B382">
            <v>20168</v>
          </cell>
          <cell r="C382" t="str">
            <v>Whitehall Junior</v>
          </cell>
          <cell r="F382">
            <v>1073679</v>
          </cell>
          <cell r="G382">
            <v>-11000.76</v>
          </cell>
          <cell r="H382">
            <v>1062678.24</v>
          </cell>
        </row>
        <row r="383">
          <cell r="B383">
            <v>20169</v>
          </cell>
          <cell r="C383" t="str">
            <v>Whiteheath Infants</v>
          </cell>
          <cell r="F383">
            <v>1026422.99</v>
          </cell>
          <cell r="G383">
            <v>-25652</v>
          </cell>
          <cell r="H383">
            <v>1000770.99</v>
          </cell>
        </row>
        <row r="384">
          <cell r="B384">
            <v>20170</v>
          </cell>
          <cell r="C384" t="str">
            <v>Whiteheath Junior</v>
          </cell>
          <cell r="F384">
            <v>1063075</v>
          </cell>
          <cell r="G384">
            <v>-43932.54</v>
          </cell>
          <cell r="H384">
            <v>1019142.46</v>
          </cell>
        </row>
        <row r="385">
          <cell r="B385">
            <v>20171</v>
          </cell>
          <cell r="C385" t="str">
            <v>William Byrd Primary</v>
          </cell>
          <cell r="F385">
            <v>1586685.89</v>
          </cell>
          <cell r="G385">
            <v>-100033</v>
          </cell>
          <cell r="H385">
            <v>1486652.89</v>
          </cell>
        </row>
        <row r="386">
          <cell r="B386">
            <v>20173</v>
          </cell>
          <cell r="C386" t="str">
            <v>Wood End Park Primary</v>
          </cell>
          <cell r="F386">
            <v>2982656.16</v>
          </cell>
          <cell r="G386">
            <v>-93791.19</v>
          </cell>
          <cell r="H386">
            <v>2888864.97</v>
          </cell>
        </row>
        <row r="387">
          <cell r="B387">
            <v>20174</v>
          </cell>
          <cell r="C387" t="str">
            <v>Yeading Infants</v>
          </cell>
          <cell r="F387">
            <v>1404853.39</v>
          </cell>
          <cell r="G387">
            <v>-37972.080000000002</v>
          </cell>
          <cell r="H387">
            <v>1366881.3099999998</v>
          </cell>
        </row>
        <row r="388">
          <cell r="B388">
            <v>20175</v>
          </cell>
          <cell r="C388" t="str">
            <v>Yeading Junior</v>
          </cell>
          <cell r="F388">
            <v>1630729.94</v>
          </cell>
          <cell r="G388">
            <v>68205.7</v>
          </cell>
          <cell r="H388">
            <v>1698935.64</v>
          </cell>
        </row>
        <row r="389">
          <cell r="B389">
            <v>20176</v>
          </cell>
          <cell r="C389" t="str">
            <v>Guru Nanak Primary Delegated</v>
          </cell>
          <cell r="F389">
            <v>899863.2</v>
          </cell>
          <cell r="G389">
            <v>-33012.39</v>
          </cell>
          <cell r="H389">
            <v>866850.80999999994</v>
          </cell>
        </row>
        <row r="390">
          <cell r="B390">
            <v>20190</v>
          </cell>
          <cell r="C390" t="str">
            <v>Overhead EY</v>
          </cell>
          <cell r="F390">
            <v>229770</v>
          </cell>
          <cell r="G390">
            <v>0</v>
          </cell>
          <cell r="H390">
            <v>229770</v>
          </cell>
        </row>
        <row r="391">
          <cell r="B391">
            <v>20200</v>
          </cell>
          <cell r="C391" t="str">
            <v>Primary - Debt Interest</v>
          </cell>
          <cell r="F391">
            <v>4399899.0199999996</v>
          </cell>
          <cell r="G391">
            <v>0</v>
          </cell>
          <cell r="H391">
            <v>4399899.0199999996</v>
          </cell>
        </row>
        <row r="392">
          <cell r="B392">
            <v>20202</v>
          </cell>
          <cell r="C392" t="str">
            <v>FRS17 Pension Adj-Primary</v>
          </cell>
          <cell r="F392">
            <v>27390.81</v>
          </cell>
          <cell r="G392">
            <v>0</v>
          </cell>
          <cell r="H392">
            <v>27390.81</v>
          </cell>
        </row>
        <row r="393">
          <cell r="B393">
            <v>20309</v>
          </cell>
          <cell r="C393" t="str">
            <v>Speech &amp; Language Hha</v>
          </cell>
          <cell r="F393">
            <v>32889.15</v>
          </cell>
          <cell r="G393">
            <v>0</v>
          </cell>
          <cell r="H393">
            <v>32889.15</v>
          </cell>
        </row>
        <row r="394">
          <cell r="B394">
            <v>20310</v>
          </cell>
          <cell r="C394" t="str">
            <v>Uxbridge Language Unit Erp</v>
          </cell>
          <cell r="F394">
            <v>207230</v>
          </cell>
          <cell r="G394">
            <v>0</v>
          </cell>
          <cell r="H394">
            <v>207230</v>
          </cell>
        </row>
        <row r="395">
          <cell r="B395">
            <v>20319</v>
          </cell>
          <cell r="C395" t="str">
            <v>Prim Statements O/B Mainstream</v>
          </cell>
          <cell r="F395">
            <v>267540</v>
          </cell>
          <cell r="G395">
            <v>0</v>
          </cell>
          <cell r="H395">
            <v>267540</v>
          </cell>
        </row>
        <row r="396">
          <cell r="B396">
            <v>20321</v>
          </cell>
          <cell r="C396" t="str">
            <v>Primary-Sickness Cover Insurance</v>
          </cell>
          <cell r="F396">
            <v>480424</v>
          </cell>
          <cell r="G396">
            <v>-460944.1</v>
          </cell>
          <cell r="H396">
            <v>19479.900000000023</v>
          </cell>
        </row>
        <row r="397">
          <cell r="B397">
            <v>20390</v>
          </cell>
          <cell r="C397" t="str">
            <v>Primary - Premature Retirement</v>
          </cell>
          <cell r="F397">
            <v>304165.86</v>
          </cell>
          <cell r="G397">
            <v>0</v>
          </cell>
          <cell r="H397">
            <v>304165.86</v>
          </cell>
        </row>
        <row r="398">
          <cell r="B398">
            <v>20600</v>
          </cell>
          <cell r="C398" t="str">
            <v>Macmillan Nursery L E A</v>
          </cell>
          <cell r="F398">
            <v>55146.6</v>
          </cell>
          <cell r="G398">
            <v>0</v>
          </cell>
          <cell r="H398">
            <v>55146.6</v>
          </cell>
        </row>
        <row r="399">
          <cell r="B399">
            <v>20698</v>
          </cell>
          <cell r="C399" t="str">
            <v>Three Year Old Provison</v>
          </cell>
          <cell r="F399">
            <v>1358841.73</v>
          </cell>
          <cell r="G399">
            <v>-125741.73</v>
          </cell>
          <cell r="H399">
            <v>1233100</v>
          </cell>
        </row>
        <row r="400">
          <cell r="B400">
            <v>20699</v>
          </cell>
          <cell r="C400" t="str">
            <v>Four Year Old ProvsnPriv/Vol</v>
          </cell>
          <cell r="F400">
            <v>523599.4</v>
          </cell>
          <cell r="G400">
            <v>-48379.4</v>
          </cell>
          <cell r="H400">
            <v>475220</v>
          </cell>
        </row>
        <row r="401">
          <cell r="B401">
            <v>20991</v>
          </cell>
          <cell r="C401" t="str">
            <v>Primary Contingency Spec Needs</v>
          </cell>
          <cell r="F401">
            <v>334470</v>
          </cell>
          <cell r="G401">
            <v>0</v>
          </cell>
          <cell r="H401">
            <v>334470</v>
          </cell>
        </row>
        <row r="402">
          <cell r="B402">
            <v>20994</v>
          </cell>
          <cell r="C402" t="str">
            <v>Nursery Statements</v>
          </cell>
          <cell r="F402">
            <v>8710</v>
          </cell>
          <cell r="G402">
            <v>0</v>
          </cell>
          <cell r="H402">
            <v>8710</v>
          </cell>
        </row>
        <row r="403">
          <cell r="B403">
            <v>20996</v>
          </cell>
          <cell r="C403" t="str">
            <v>Primary Lea Srp</v>
          </cell>
          <cell r="F403">
            <v>-21544</v>
          </cell>
          <cell r="G403">
            <v>0</v>
          </cell>
          <cell r="H403">
            <v>-21544</v>
          </cell>
        </row>
        <row r="404">
          <cell r="B404">
            <v>20997</v>
          </cell>
          <cell r="C404" t="str">
            <v>Primary Lea Statements</v>
          </cell>
          <cell r="F404">
            <v>-105631</v>
          </cell>
          <cell r="G404">
            <v>0</v>
          </cell>
          <cell r="H404">
            <v>-105631</v>
          </cell>
        </row>
        <row r="405">
          <cell r="B405">
            <v>20999</v>
          </cell>
          <cell r="C405" t="str">
            <v>Primary ASB</v>
          </cell>
          <cell r="F405">
            <v>-18507.5</v>
          </cell>
          <cell r="G405">
            <v>0</v>
          </cell>
          <cell r="H405">
            <v>-18507.5</v>
          </cell>
        </row>
        <row r="406">
          <cell r="B406">
            <v>21101</v>
          </cell>
          <cell r="C406" t="str">
            <v>Abbotsfield</v>
          </cell>
          <cell r="F406">
            <v>3313930.78</v>
          </cell>
          <cell r="G406">
            <v>-177452.7</v>
          </cell>
          <cell r="H406">
            <v>3136478.0799999996</v>
          </cell>
        </row>
        <row r="407">
          <cell r="B407">
            <v>21102</v>
          </cell>
          <cell r="C407" t="str">
            <v>Barnhill Community High</v>
          </cell>
          <cell r="F407">
            <v>6886949.8799999999</v>
          </cell>
          <cell r="G407">
            <v>-285290.01</v>
          </cell>
          <cell r="H407">
            <v>6601659.8700000001</v>
          </cell>
        </row>
        <row r="408">
          <cell r="B408">
            <v>21103</v>
          </cell>
          <cell r="C408" t="str">
            <v>Bishop Ramsey</v>
          </cell>
          <cell r="F408">
            <v>5680869.04</v>
          </cell>
          <cell r="G408">
            <v>-161748.70000000001</v>
          </cell>
          <cell r="H408">
            <v>5519120.3399999999</v>
          </cell>
        </row>
        <row r="409">
          <cell r="B409">
            <v>21104</v>
          </cell>
          <cell r="C409" t="str">
            <v>Bishopshalt Delegated</v>
          </cell>
          <cell r="F409">
            <v>6098526.6600000001</v>
          </cell>
          <cell r="G409">
            <v>-446260.23</v>
          </cell>
          <cell r="H409">
            <v>5652266.4299999997</v>
          </cell>
        </row>
        <row r="410">
          <cell r="B410">
            <v>21105</v>
          </cell>
          <cell r="C410" t="str">
            <v>The Douay Martyrs</v>
          </cell>
          <cell r="F410">
            <v>6653656.7699999996</v>
          </cell>
          <cell r="G410">
            <v>-299518.76</v>
          </cell>
          <cell r="H410">
            <v>6354138.0099999998</v>
          </cell>
        </row>
        <row r="411">
          <cell r="B411">
            <v>21107</v>
          </cell>
          <cell r="C411" t="str">
            <v>Guru Nanak Secondary</v>
          </cell>
          <cell r="F411">
            <v>2380247.2400000002</v>
          </cell>
          <cell r="G411">
            <v>-101821.75999999999</v>
          </cell>
          <cell r="H411">
            <v>2278425.4800000004</v>
          </cell>
        </row>
        <row r="412">
          <cell r="B412">
            <v>21108</v>
          </cell>
          <cell r="C412" t="str">
            <v>Harlington Community</v>
          </cell>
          <cell r="F412">
            <v>6404359.4699999997</v>
          </cell>
          <cell r="G412">
            <v>-892285.92</v>
          </cell>
          <cell r="H412">
            <v>5512073.5499999998</v>
          </cell>
        </row>
        <row r="413">
          <cell r="B413">
            <v>21109</v>
          </cell>
          <cell r="C413" t="str">
            <v>Haydon Delegated</v>
          </cell>
          <cell r="F413">
            <v>9478035.5999999996</v>
          </cell>
          <cell r="G413">
            <v>-351580.69</v>
          </cell>
          <cell r="H413">
            <v>9126454.9100000001</v>
          </cell>
        </row>
        <row r="414">
          <cell r="B414">
            <v>21110</v>
          </cell>
          <cell r="C414" t="str">
            <v>Hayes Manor Delegated</v>
          </cell>
          <cell r="F414">
            <v>4701338.01</v>
          </cell>
          <cell r="G414">
            <v>-606494.68999999994</v>
          </cell>
          <cell r="H414">
            <v>4094843.32</v>
          </cell>
        </row>
        <row r="415">
          <cell r="B415">
            <v>21111</v>
          </cell>
          <cell r="C415" t="str">
            <v>John Penrose</v>
          </cell>
          <cell r="F415">
            <v>962.9</v>
          </cell>
          <cell r="G415">
            <v>0</v>
          </cell>
          <cell r="H415">
            <v>962.9</v>
          </cell>
        </row>
        <row r="416">
          <cell r="B416">
            <v>21112</v>
          </cell>
          <cell r="C416" t="str">
            <v>Mellow Lane Delegated</v>
          </cell>
          <cell r="F416">
            <v>7665639.5199999996</v>
          </cell>
          <cell r="G416">
            <v>-339543.65</v>
          </cell>
          <cell r="H416">
            <v>7326095.8699999992</v>
          </cell>
        </row>
        <row r="417">
          <cell r="B417">
            <v>21113</v>
          </cell>
          <cell r="C417" t="str">
            <v>Northwood Delegated</v>
          </cell>
          <cell r="F417">
            <v>5984996.2199999997</v>
          </cell>
          <cell r="G417">
            <v>-112425.8</v>
          </cell>
          <cell r="H417">
            <v>5872570.4199999999</v>
          </cell>
        </row>
        <row r="418">
          <cell r="B418">
            <v>21114</v>
          </cell>
          <cell r="C418" t="str">
            <v>Queensmead Delegated</v>
          </cell>
          <cell r="F418">
            <v>5373870.5800000001</v>
          </cell>
          <cell r="G418">
            <v>-312016.67</v>
          </cell>
          <cell r="H418">
            <v>5061853.91</v>
          </cell>
        </row>
        <row r="419">
          <cell r="B419">
            <v>21115</v>
          </cell>
          <cell r="C419" t="str">
            <v>Swakeleys</v>
          </cell>
          <cell r="F419">
            <v>4860436.99</v>
          </cell>
          <cell r="G419">
            <v>-421212.08</v>
          </cell>
          <cell r="H419">
            <v>4439224.91</v>
          </cell>
        </row>
        <row r="420">
          <cell r="B420">
            <v>21117</v>
          </cell>
          <cell r="C420" t="str">
            <v>Uxbridge High Delegated</v>
          </cell>
          <cell r="F420">
            <v>5621264</v>
          </cell>
          <cell r="G420">
            <v>-230093</v>
          </cell>
          <cell r="H420">
            <v>5391171</v>
          </cell>
        </row>
        <row r="421">
          <cell r="B421">
            <v>21118</v>
          </cell>
          <cell r="C421" t="str">
            <v>Vyners Delegated</v>
          </cell>
          <cell r="F421">
            <v>5341168.22</v>
          </cell>
          <cell r="G421">
            <v>-295170.32</v>
          </cell>
          <cell r="H421">
            <v>5045997.8999999994</v>
          </cell>
        </row>
        <row r="422">
          <cell r="B422">
            <v>21120</v>
          </cell>
          <cell r="C422" t="str">
            <v>Stockley Academy</v>
          </cell>
          <cell r="F422">
            <v>524632</v>
          </cell>
          <cell r="G422">
            <v>0</v>
          </cell>
          <cell r="H422">
            <v>524632</v>
          </cell>
        </row>
        <row r="423">
          <cell r="B423">
            <v>21121</v>
          </cell>
          <cell r="C423" t="str">
            <v>John Penrose Interim Costs</v>
          </cell>
          <cell r="F423">
            <v>149.22</v>
          </cell>
          <cell r="G423">
            <v>0</v>
          </cell>
          <cell r="H423">
            <v>149.22</v>
          </cell>
        </row>
        <row r="424">
          <cell r="B424">
            <v>21122</v>
          </cell>
          <cell r="C424" t="str">
            <v>Ruislip High Secondary School</v>
          </cell>
          <cell r="F424">
            <v>1163612.8700000001</v>
          </cell>
          <cell r="G424">
            <v>-124496.81</v>
          </cell>
          <cell r="H424">
            <v>1039116.06</v>
          </cell>
        </row>
        <row r="425">
          <cell r="B425">
            <v>21123</v>
          </cell>
          <cell r="C425" t="str">
            <v>Harefield Academy</v>
          </cell>
          <cell r="F425">
            <v>422709.77</v>
          </cell>
          <cell r="G425">
            <v>0</v>
          </cell>
          <cell r="H425">
            <v>422709.77</v>
          </cell>
        </row>
        <row r="426">
          <cell r="B426">
            <v>21200</v>
          </cell>
          <cell r="C426" t="str">
            <v>Secondary - Debt Interest</v>
          </cell>
          <cell r="F426">
            <v>-691537.75</v>
          </cell>
          <cell r="G426">
            <v>0</v>
          </cell>
          <cell r="H426">
            <v>-691537.75</v>
          </cell>
        </row>
        <row r="427">
          <cell r="B427">
            <v>21201</v>
          </cell>
          <cell r="C427" t="str">
            <v>Barnhill Pfi</v>
          </cell>
          <cell r="F427">
            <v>3105666.55</v>
          </cell>
          <cell r="G427">
            <v>-3105666.55</v>
          </cell>
          <cell r="H427">
            <v>0</v>
          </cell>
        </row>
        <row r="428">
          <cell r="B428">
            <v>21270</v>
          </cell>
          <cell r="C428" t="str">
            <v>Hillingdon EBP</v>
          </cell>
          <cell r="F428">
            <v>183094.27</v>
          </cell>
          <cell r="G428">
            <v>-122388.82</v>
          </cell>
          <cell r="H428">
            <v>60705.449999999983</v>
          </cell>
        </row>
        <row r="429">
          <cell r="B429">
            <v>21271</v>
          </cell>
          <cell r="C429" t="str">
            <v>HEBP-Hill.Training Ltd</v>
          </cell>
          <cell r="F429">
            <v>25618.36</v>
          </cell>
          <cell r="G429">
            <v>-25618.36</v>
          </cell>
          <cell r="H429">
            <v>0</v>
          </cell>
        </row>
        <row r="430">
          <cell r="B430">
            <v>21312</v>
          </cell>
          <cell r="C430" t="str">
            <v>Vyners Srp Partial Hearing</v>
          </cell>
          <cell r="F430">
            <v>30189</v>
          </cell>
          <cell r="G430">
            <v>-22029</v>
          </cell>
          <cell r="H430">
            <v>8160</v>
          </cell>
        </row>
        <row r="431">
          <cell r="B431">
            <v>21319</v>
          </cell>
          <cell r="C431" t="str">
            <v>Sec Statements O/B Mainstream</v>
          </cell>
          <cell r="F431">
            <v>268030</v>
          </cell>
          <cell r="G431">
            <v>0</v>
          </cell>
          <cell r="H431">
            <v>268030</v>
          </cell>
        </row>
        <row r="432">
          <cell r="B432">
            <v>21321</v>
          </cell>
          <cell r="C432" t="str">
            <v>Secondary-Sickness Cover Insurance</v>
          </cell>
          <cell r="F432">
            <v>67824</v>
          </cell>
          <cell r="G432">
            <v>-52130</v>
          </cell>
          <cell r="H432">
            <v>15694</v>
          </cell>
        </row>
        <row r="433">
          <cell r="B433">
            <v>21380</v>
          </cell>
          <cell r="C433" t="str">
            <v>Hillingdon Manor Independant</v>
          </cell>
          <cell r="F433">
            <v>18470</v>
          </cell>
          <cell r="G433">
            <v>-86171.81</v>
          </cell>
          <cell r="H433">
            <v>-67701.81</v>
          </cell>
        </row>
        <row r="434">
          <cell r="B434">
            <v>21390</v>
          </cell>
          <cell r="C434" t="str">
            <v>Secondary - Premature Retirement</v>
          </cell>
          <cell r="F434">
            <v>467633.47</v>
          </cell>
          <cell r="G434">
            <v>0</v>
          </cell>
          <cell r="H434">
            <v>467633.47</v>
          </cell>
        </row>
        <row r="435">
          <cell r="B435">
            <v>21397</v>
          </cell>
          <cell r="C435" t="str">
            <v>Northwood -Sen Recoupment</v>
          </cell>
          <cell r="F435">
            <v>10519.81</v>
          </cell>
          <cell r="G435">
            <v>-10519.81</v>
          </cell>
          <cell r="H435">
            <v>0</v>
          </cell>
        </row>
        <row r="436">
          <cell r="B436">
            <v>21400</v>
          </cell>
          <cell r="C436" t="str">
            <v>Schools SEN Recoupment</v>
          </cell>
          <cell r="F436">
            <v>922.05</v>
          </cell>
          <cell r="G436">
            <v>-922.17</v>
          </cell>
          <cell r="H436">
            <v>-0.12000000000000455</v>
          </cell>
        </row>
        <row r="437">
          <cell r="B437">
            <v>21409</v>
          </cell>
          <cell r="C437" t="str">
            <v>Sen Recoupment - Frithwood</v>
          </cell>
          <cell r="F437">
            <v>0</v>
          </cell>
          <cell r="G437">
            <v>-0.28000000000000003</v>
          </cell>
          <cell r="H437">
            <v>-0.28000000000000003</v>
          </cell>
        </row>
        <row r="438">
          <cell r="B438">
            <v>21540</v>
          </cell>
          <cell r="C438" t="str">
            <v>Music Service</v>
          </cell>
          <cell r="F438">
            <v>801486.92</v>
          </cell>
          <cell r="G438">
            <v>-344052.24</v>
          </cell>
          <cell r="H438">
            <v>457434.68000000005</v>
          </cell>
        </row>
        <row r="439">
          <cell r="B439">
            <v>21800</v>
          </cell>
          <cell r="C439" t="str">
            <v>Secndry School Standards Grant</v>
          </cell>
          <cell r="F439">
            <v>0</v>
          </cell>
          <cell r="G439">
            <v>-16394671.029999999</v>
          </cell>
          <cell r="H439">
            <v>-16394671.029999999</v>
          </cell>
        </row>
        <row r="440">
          <cell r="B440">
            <v>21991</v>
          </cell>
          <cell r="C440" t="str">
            <v>Secondary Conting Spec Needs</v>
          </cell>
          <cell r="F440">
            <v>223522</v>
          </cell>
          <cell r="G440">
            <v>-1594402</v>
          </cell>
          <cell r="H440">
            <v>-1370880</v>
          </cell>
        </row>
        <row r="441">
          <cell r="B441">
            <v>21997</v>
          </cell>
          <cell r="C441" t="str">
            <v>Secondary Lea Statements</v>
          </cell>
          <cell r="F441">
            <v>202227</v>
          </cell>
          <cell r="G441">
            <v>0</v>
          </cell>
          <cell r="H441">
            <v>202227</v>
          </cell>
        </row>
        <row r="442">
          <cell r="B442">
            <v>21999</v>
          </cell>
          <cell r="C442" t="str">
            <v>Secondary ASB</v>
          </cell>
          <cell r="F442">
            <v>-19040</v>
          </cell>
          <cell r="G442">
            <v>0</v>
          </cell>
          <cell r="H442">
            <v>-19040</v>
          </cell>
        </row>
        <row r="443">
          <cell r="B443">
            <v>22100</v>
          </cell>
          <cell r="C443" t="str">
            <v>Special Services Gen Provision</v>
          </cell>
          <cell r="F443">
            <v>6101720.0199999996</v>
          </cell>
          <cell r="G443">
            <v>-1128586.02</v>
          </cell>
          <cell r="H443">
            <v>4973134</v>
          </cell>
        </row>
        <row r="444">
          <cell r="B444">
            <v>22101</v>
          </cell>
          <cell r="C444" t="str">
            <v>Chantry Special</v>
          </cell>
          <cell r="F444">
            <v>1194455.54</v>
          </cell>
          <cell r="G444">
            <v>-128733.43</v>
          </cell>
          <cell r="H444">
            <v>1065722.1100000001</v>
          </cell>
        </row>
        <row r="445">
          <cell r="B445">
            <v>22102</v>
          </cell>
          <cell r="C445" t="str">
            <v>Grangewood Special</v>
          </cell>
          <cell r="F445">
            <v>1887301.5</v>
          </cell>
          <cell r="G445">
            <v>-103182.42</v>
          </cell>
          <cell r="H445">
            <v>1784119.08</v>
          </cell>
        </row>
        <row r="446">
          <cell r="B446">
            <v>22103</v>
          </cell>
          <cell r="C446" t="str">
            <v>Hedgewood Special</v>
          </cell>
          <cell r="F446">
            <v>1316506.6100000001</v>
          </cell>
          <cell r="G446">
            <v>-35543.53</v>
          </cell>
          <cell r="H446">
            <v>1280963.08</v>
          </cell>
        </row>
        <row r="447">
          <cell r="B447">
            <v>22104</v>
          </cell>
          <cell r="C447" t="str">
            <v>Meadow Special Day</v>
          </cell>
          <cell r="F447">
            <v>2004258.19</v>
          </cell>
          <cell r="G447">
            <v>-47948.61</v>
          </cell>
          <cell r="H447">
            <v>1956309.5799999998</v>
          </cell>
        </row>
        <row r="448">
          <cell r="B448">
            <v>22105</v>
          </cell>
          <cell r="C448" t="str">
            <v>Moorcroft Special Day</v>
          </cell>
          <cell r="F448">
            <v>1598221</v>
          </cell>
          <cell r="G448">
            <v>-141544</v>
          </cell>
          <cell r="H448">
            <v>1456677</v>
          </cell>
        </row>
        <row r="449">
          <cell r="B449">
            <v>22106</v>
          </cell>
          <cell r="C449" t="str">
            <v>The Willows Special</v>
          </cell>
          <cell r="F449">
            <v>796632.03</v>
          </cell>
          <cell r="G449">
            <v>-28805.24</v>
          </cell>
          <cell r="H449">
            <v>767826.79</v>
          </cell>
        </row>
        <row r="450">
          <cell r="B450">
            <v>22107</v>
          </cell>
          <cell r="C450" t="str">
            <v>London SEN Regional Partnership</v>
          </cell>
          <cell r="F450">
            <v>310018.44</v>
          </cell>
          <cell r="G450">
            <v>-312018.44</v>
          </cell>
          <cell r="H450">
            <v>-2000</v>
          </cell>
        </row>
        <row r="451">
          <cell r="B451">
            <v>22109</v>
          </cell>
          <cell r="C451" t="str">
            <v>Special Schools Transport</v>
          </cell>
          <cell r="F451">
            <v>3630488.86</v>
          </cell>
          <cell r="G451">
            <v>0</v>
          </cell>
          <cell r="H451">
            <v>3630488.86</v>
          </cell>
        </row>
        <row r="452">
          <cell r="B452">
            <v>22111</v>
          </cell>
          <cell r="C452" t="str">
            <v>Parenting Early Intervention Grant</v>
          </cell>
          <cell r="F452">
            <v>40420.35</v>
          </cell>
          <cell r="G452">
            <v>-40420</v>
          </cell>
          <cell r="H452">
            <v>0.34999999999854481</v>
          </cell>
        </row>
        <row r="453">
          <cell r="B453">
            <v>22112</v>
          </cell>
          <cell r="C453" t="str">
            <v>Mainstream Home to School Transpor</v>
          </cell>
          <cell r="F453">
            <v>156793.76</v>
          </cell>
          <cell r="G453">
            <v>0</v>
          </cell>
          <cell r="H453">
            <v>156793.76</v>
          </cell>
        </row>
        <row r="454">
          <cell r="B454">
            <v>22303</v>
          </cell>
          <cell r="C454" t="str">
            <v>Parent Partnerships Childrens Fund</v>
          </cell>
          <cell r="F454">
            <v>85495.19</v>
          </cell>
          <cell r="G454">
            <v>-79435.19</v>
          </cell>
          <cell r="H454">
            <v>6060</v>
          </cell>
        </row>
        <row r="455">
          <cell r="B455">
            <v>22307</v>
          </cell>
          <cell r="C455" t="str">
            <v>Independent travel training</v>
          </cell>
          <cell r="F455">
            <v>4015.81</v>
          </cell>
          <cell r="G455">
            <v>-4016</v>
          </cell>
          <cell r="H455">
            <v>-0.19000000000005457</v>
          </cell>
        </row>
        <row r="456">
          <cell r="B456">
            <v>22321</v>
          </cell>
          <cell r="C456" t="str">
            <v>Special-Sickness Cover Insurance</v>
          </cell>
          <cell r="F456">
            <v>26740.5</v>
          </cell>
          <cell r="G456">
            <v>-59094</v>
          </cell>
          <cell r="H456">
            <v>-32353.5</v>
          </cell>
        </row>
        <row r="457">
          <cell r="B457">
            <v>22600</v>
          </cell>
          <cell r="C457" t="str">
            <v>Special - Premature Retirement</v>
          </cell>
          <cell r="F457">
            <v>180020.92</v>
          </cell>
          <cell r="G457">
            <v>0</v>
          </cell>
          <cell r="H457">
            <v>180020.92</v>
          </cell>
        </row>
        <row r="458">
          <cell r="B458">
            <v>22601</v>
          </cell>
          <cell r="C458" t="str">
            <v>Special - Excepted Items</v>
          </cell>
          <cell r="F458">
            <v>658820</v>
          </cell>
          <cell r="G458">
            <v>0</v>
          </cell>
          <cell r="H458">
            <v>658820</v>
          </cell>
        </row>
        <row r="459">
          <cell r="B459">
            <v>22604</v>
          </cell>
          <cell r="C459" t="str">
            <v>Meadow L E A</v>
          </cell>
          <cell r="F459">
            <v>13.25</v>
          </cell>
          <cell r="G459">
            <v>0</v>
          </cell>
          <cell r="H459">
            <v>13.25</v>
          </cell>
        </row>
        <row r="460">
          <cell r="B460">
            <v>22606</v>
          </cell>
          <cell r="C460" t="str">
            <v>Willows L E A</v>
          </cell>
          <cell r="F460">
            <v>549.9</v>
          </cell>
          <cell r="G460">
            <v>0</v>
          </cell>
          <cell r="H460">
            <v>549.9</v>
          </cell>
        </row>
        <row r="461">
          <cell r="B461">
            <v>22850</v>
          </cell>
          <cell r="C461" t="str">
            <v>Dedicated School Grant</v>
          </cell>
          <cell r="F461">
            <v>0</v>
          </cell>
          <cell r="G461">
            <v>-148435000</v>
          </cell>
          <cell r="H461">
            <v>-148435000</v>
          </cell>
        </row>
        <row r="462">
          <cell r="B462">
            <v>22998</v>
          </cell>
          <cell r="C462" t="str">
            <v>Courier Service School</v>
          </cell>
          <cell r="F462">
            <v>20000</v>
          </cell>
          <cell r="G462">
            <v>0</v>
          </cell>
          <cell r="H462">
            <v>20000</v>
          </cell>
        </row>
        <row r="463">
          <cell r="B463">
            <v>22999</v>
          </cell>
          <cell r="C463" t="str">
            <v>Special ASB</v>
          </cell>
          <cell r="F463">
            <v>-148970.79999999999</v>
          </cell>
          <cell r="G463">
            <v>0</v>
          </cell>
          <cell r="H463">
            <v>-148970.79999999999</v>
          </cell>
        </row>
        <row r="464">
          <cell r="B464">
            <v>23000</v>
          </cell>
          <cell r="C464" t="str">
            <v>Special Needs Team</v>
          </cell>
          <cell r="F464">
            <v>512980.79</v>
          </cell>
          <cell r="G464">
            <v>0</v>
          </cell>
          <cell r="H464">
            <v>512980.79</v>
          </cell>
        </row>
        <row r="465">
          <cell r="B465">
            <v>23001</v>
          </cell>
          <cell r="C465" t="str">
            <v>Pupil &amp; Family - Admis &amp; Admin</v>
          </cell>
          <cell r="F465">
            <v>243059.56</v>
          </cell>
          <cell r="G465">
            <v>0</v>
          </cell>
          <cell r="H465">
            <v>243059.56</v>
          </cell>
        </row>
        <row r="466">
          <cell r="B466">
            <v>23002</v>
          </cell>
          <cell r="C466" t="str">
            <v>Pupil &amp; Family - Home &amp; Hosp</v>
          </cell>
          <cell r="F466">
            <v>623227.91</v>
          </cell>
          <cell r="G466">
            <v>-358334</v>
          </cell>
          <cell r="H466">
            <v>264893.91000000003</v>
          </cell>
        </row>
        <row r="467">
          <cell r="B467">
            <v>23003</v>
          </cell>
          <cell r="C467" t="str">
            <v>Pupil &amp; Family - Welfare</v>
          </cell>
          <cell r="F467">
            <v>509659.91</v>
          </cell>
          <cell r="G467">
            <v>-145007.60999999999</v>
          </cell>
          <cell r="H467">
            <v>364652.3</v>
          </cell>
        </row>
        <row r="468">
          <cell r="B468">
            <v>23005</v>
          </cell>
          <cell r="C468" t="str">
            <v>E M A S S  - Admin</v>
          </cell>
          <cell r="F468">
            <v>88139.35</v>
          </cell>
          <cell r="G468">
            <v>-4120</v>
          </cell>
          <cell r="H468">
            <v>84019.35</v>
          </cell>
        </row>
        <row r="469">
          <cell r="B469">
            <v>23006</v>
          </cell>
          <cell r="C469" t="str">
            <v>R A E M S</v>
          </cell>
          <cell r="F469">
            <v>57347.92</v>
          </cell>
          <cell r="G469">
            <v>-60048</v>
          </cell>
          <cell r="H469">
            <v>-2700.0800000000017</v>
          </cell>
        </row>
        <row r="470">
          <cell r="B470">
            <v>23007</v>
          </cell>
          <cell r="C470" t="str">
            <v>Traveller Education Service</v>
          </cell>
          <cell r="F470">
            <v>144470.57</v>
          </cell>
          <cell r="G470">
            <v>-78821</v>
          </cell>
          <cell r="H470">
            <v>65649.570000000007</v>
          </cell>
        </row>
        <row r="471">
          <cell r="B471">
            <v>23008</v>
          </cell>
          <cell r="C471" t="str">
            <v>U A S P</v>
          </cell>
          <cell r="F471">
            <v>37978.629999999997</v>
          </cell>
          <cell r="G471">
            <v>-22583</v>
          </cell>
          <cell r="H471">
            <v>15395.629999999997</v>
          </cell>
        </row>
        <row r="472">
          <cell r="B472">
            <v>23010</v>
          </cell>
          <cell r="C472" t="str">
            <v>P&amp;Fs Hillingdon Tuition Centre</v>
          </cell>
          <cell r="F472">
            <v>509801.29</v>
          </cell>
          <cell r="G472">
            <v>-224607.79</v>
          </cell>
          <cell r="H472">
            <v>285193.5</v>
          </cell>
        </row>
        <row r="473">
          <cell r="B473">
            <v>23013</v>
          </cell>
          <cell r="C473" t="str">
            <v>Head of Inclusion</v>
          </cell>
          <cell r="F473">
            <v>90385.8</v>
          </cell>
          <cell r="G473">
            <v>0</v>
          </cell>
          <cell r="H473">
            <v>90385.8</v>
          </cell>
        </row>
        <row r="474">
          <cell r="B474">
            <v>23014</v>
          </cell>
          <cell r="C474" t="str">
            <v>Benefits/Management Info Team</v>
          </cell>
          <cell r="F474">
            <v>72.13</v>
          </cell>
          <cell r="G474">
            <v>0</v>
          </cell>
          <cell r="H474">
            <v>72.13</v>
          </cell>
        </row>
        <row r="475">
          <cell r="B475">
            <v>23015</v>
          </cell>
          <cell r="C475" t="str">
            <v>Not School-SHARED COSTS</v>
          </cell>
          <cell r="F475">
            <v>155267.14000000001</v>
          </cell>
          <cell r="G475">
            <v>-68700.39</v>
          </cell>
          <cell r="H475">
            <v>86566.750000000015</v>
          </cell>
        </row>
        <row r="476">
          <cell r="B476">
            <v>23016</v>
          </cell>
          <cell r="C476" t="str">
            <v>Not School-Hillingdon Costs</v>
          </cell>
          <cell r="F476">
            <v>13375.11</v>
          </cell>
          <cell r="G476">
            <v>-9595.59</v>
          </cell>
          <cell r="H476">
            <v>3779.5200000000004</v>
          </cell>
        </row>
        <row r="477">
          <cell r="B477">
            <v>23017</v>
          </cell>
          <cell r="C477" t="str">
            <v>Student Supp,Sch.Access Funds</v>
          </cell>
          <cell r="F477">
            <v>21834.68</v>
          </cell>
          <cell r="G477">
            <v>-3950</v>
          </cell>
          <cell r="H477">
            <v>17884.68</v>
          </cell>
        </row>
        <row r="478">
          <cell r="B478">
            <v>23019</v>
          </cell>
          <cell r="C478" t="str">
            <v>Cent Fund-Hill Tuition Centre</v>
          </cell>
          <cell r="F478">
            <v>11778.35</v>
          </cell>
          <cell r="G478">
            <v>0</v>
          </cell>
          <cell r="H478">
            <v>11778.35</v>
          </cell>
        </row>
        <row r="479">
          <cell r="B479">
            <v>23021</v>
          </cell>
          <cell r="C479" t="str">
            <v>SF 3 - RAEMS Central Retention</v>
          </cell>
          <cell r="F479">
            <v>91510.21</v>
          </cell>
          <cell r="G479">
            <v>-87280.28</v>
          </cell>
          <cell r="H479">
            <v>4229.9300000000076</v>
          </cell>
        </row>
        <row r="480">
          <cell r="B480">
            <v>23025</v>
          </cell>
          <cell r="C480" t="str">
            <v>Pupils Out Of School</v>
          </cell>
          <cell r="F480">
            <v>213248.99</v>
          </cell>
          <cell r="G480">
            <v>-4292.3500000000004</v>
          </cell>
          <cell r="H480">
            <v>208956.63999999998</v>
          </cell>
        </row>
        <row r="481">
          <cell r="B481">
            <v>23100</v>
          </cell>
          <cell r="C481" t="str">
            <v>Educational Psychology Service</v>
          </cell>
          <cell r="F481">
            <v>832637.2</v>
          </cell>
          <cell r="G481">
            <v>-30716.35</v>
          </cell>
          <cell r="H481">
            <v>801920.85</v>
          </cell>
        </row>
        <row r="482">
          <cell r="B482">
            <v>23101</v>
          </cell>
          <cell r="C482" t="str">
            <v>Cent Fund-Child Guidance Centr</v>
          </cell>
          <cell r="F482">
            <v>4505.17</v>
          </cell>
          <cell r="G482">
            <v>0</v>
          </cell>
          <cell r="H482">
            <v>4505.17</v>
          </cell>
        </row>
        <row r="483">
          <cell r="B483">
            <v>23102</v>
          </cell>
          <cell r="C483" t="str">
            <v>Behavioural Support Team</v>
          </cell>
          <cell r="F483">
            <v>189741.32</v>
          </cell>
          <cell r="G483">
            <v>-128121</v>
          </cell>
          <cell r="H483">
            <v>61620.320000000007</v>
          </cell>
        </row>
        <row r="484">
          <cell r="B484">
            <v>23105</v>
          </cell>
          <cell r="C484" t="str">
            <v>Cent Fund Building Mtce</v>
          </cell>
          <cell r="F484">
            <v>2443</v>
          </cell>
          <cell r="G484">
            <v>0</v>
          </cell>
          <cell r="H484">
            <v>2443</v>
          </cell>
        </row>
        <row r="485">
          <cell r="B485">
            <v>23106</v>
          </cell>
          <cell r="C485" t="str">
            <v>Primary Mental Health</v>
          </cell>
          <cell r="F485">
            <v>731.65</v>
          </cell>
          <cell r="G485">
            <v>0</v>
          </cell>
          <cell r="H485">
            <v>731.65</v>
          </cell>
        </row>
        <row r="486">
          <cell r="B486">
            <v>23107</v>
          </cell>
          <cell r="C486" t="str">
            <v>Primary Behaviour and Attendance</v>
          </cell>
          <cell r="F486">
            <v>86865.12</v>
          </cell>
          <cell r="G486">
            <v>-63376</v>
          </cell>
          <cell r="H486">
            <v>23489.119999999995</v>
          </cell>
        </row>
        <row r="487">
          <cell r="B487">
            <v>23110</v>
          </cell>
          <cell r="C487" t="str">
            <v>Sen Early Years Team/Portage</v>
          </cell>
          <cell r="F487">
            <v>153053.03</v>
          </cell>
          <cell r="G487">
            <v>0</v>
          </cell>
          <cell r="H487">
            <v>153053.03</v>
          </cell>
        </row>
        <row r="488">
          <cell r="B488">
            <v>23120</v>
          </cell>
          <cell r="C488" t="str">
            <v>LSS - Sensory Impaired</v>
          </cell>
          <cell r="F488">
            <v>245770</v>
          </cell>
          <cell r="G488">
            <v>-600</v>
          </cell>
          <cell r="H488">
            <v>245170</v>
          </cell>
        </row>
        <row r="489">
          <cell r="B489">
            <v>23130</v>
          </cell>
          <cell r="C489" t="str">
            <v>LSS - Learning Difficulty</v>
          </cell>
          <cell r="F489">
            <v>200920</v>
          </cell>
          <cell r="G489">
            <v>-10260</v>
          </cell>
          <cell r="H489">
            <v>190660</v>
          </cell>
        </row>
        <row r="490">
          <cell r="B490">
            <v>23141</v>
          </cell>
          <cell r="C490" t="str">
            <v>LSS - Autistic Spectrum Disorder</v>
          </cell>
          <cell r="F490">
            <v>138970</v>
          </cell>
          <cell r="G490">
            <v>0</v>
          </cell>
          <cell r="H490">
            <v>138970</v>
          </cell>
        </row>
        <row r="491">
          <cell r="B491">
            <v>23142</v>
          </cell>
          <cell r="C491" t="str">
            <v>LSS - Sens Impaired Aids</v>
          </cell>
          <cell r="F491">
            <v>10200</v>
          </cell>
          <cell r="G491">
            <v>0</v>
          </cell>
          <cell r="H491">
            <v>10200</v>
          </cell>
        </row>
        <row r="492">
          <cell r="B492">
            <v>23150</v>
          </cell>
          <cell r="C492" t="str">
            <v>Overheads SEN</v>
          </cell>
          <cell r="F492">
            <v>187890</v>
          </cell>
          <cell r="G492">
            <v>0</v>
          </cell>
          <cell r="H492">
            <v>187890</v>
          </cell>
        </row>
        <row r="493">
          <cell r="B493">
            <v>23160</v>
          </cell>
          <cell r="C493" t="str">
            <v>Overheads POS</v>
          </cell>
          <cell r="F493">
            <v>146050</v>
          </cell>
          <cell r="G493">
            <v>0</v>
          </cell>
          <cell r="H493">
            <v>146050</v>
          </cell>
        </row>
        <row r="494">
          <cell r="B494">
            <v>23303</v>
          </cell>
          <cell r="C494" t="str">
            <v>Htc Sen Transport</v>
          </cell>
          <cell r="F494">
            <v>22.67</v>
          </cell>
          <cell r="G494">
            <v>0</v>
          </cell>
          <cell r="H494">
            <v>22.67</v>
          </cell>
        </row>
        <row r="495">
          <cell r="B495">
            <v>23650</v>
          </cell>
          <cell r="C495" t="str">
            <v>Uxb Coll - Premature Retirement</v>
          </cell>
          <cell r="F495">
            <v>24227.25</v>
          </cell>
          <cell r="G495">
            <v>0</v>
          </cell>
          <cell r="H495">
            <v>24227.25</v>
          </cell>
        </row>
        <row r="496">
          <cell r="B496">
            <v>23720</v>
          </cell>
          <cell r="C496" t="str">
            <v>FE Main Grant A/Y 05-06</v>
          </cell>
          <cell r="F496">
            <v>250525.74</v>
          </cell>
          <cell r="G496">
            <v>-289206.31</v>
          </cell>
          <cell r="H496">
            <v>-38680.570000000007</v>
          </cell>
        </row>
        <row r="497">
          <cell r="B497">
            <v>23725</v>
          </cell>
          <cell r="C497" t="str">
            <v>Learner Support (Access) AY 05-06.</v>
          </cell>
          <cell r="F497">
            <v>6085.42</v>
          </cell>
          <cell r="G497">
            <v>-2670.16</v>
          </cell>
          <cell r="H497">
            <v>3415.26</v>
          </cell>
        </row>
        <row r="498">
          <cell r="B498">
            <v>23727</v>
          </cell>
          <cell r="C498" t="str">
            <v>FE Add'l Support A/Y 05-06</v>
          </cell>
          <cell r="F498">
            <v>18588.03</v>
          </cell>
          <cell r="G498">
            <v>-6517</v>
          </cell>
          <cell r="H498">
            <v>12071.029999999999</v>
          </cell>
        </row>
        <row r="499">
          <cell r="B499">
            <v>23733</v>
          </cell>
          <cell r="C499" t="str">
            <v>NIACE-ICT Infrastructure FY-05-06</v>
          </cell>
          <cell r="F499">
            <v>322.85000000000002</v>
          </cell>
          <cell r="G499">
            <v>0</v>
          </cell>
          <cell r="H499">
            <v>322.85000000000002</v>
          </cell>
        </row>
        <row r="500">
          <cell r="B500">
            <v>23737</v>
          </cell>
          <cell r="C500" t="str">
            <v>ACL Main Grant A/Y 05-06</v>
          </cell>
          <cell r="F500">
            <v>85845.84</v>
          </cell>
          <cell r="G500">
            <v>-227098.55</v>
          </cell>
          <cell r="H500">
            <v>-141252.71</v>
          </cell>
        </row>
        <row r="501">
          <cell r="B501">
            <v>23739</v>
          </cell>
          <cell r="C501" t="str">
            <v>ACL EMAG A/Y 2005-06</v>
          </cell>
          <cell r="F501">
            <v>445.8</v>
          </cell>
          <cell r="G501">
            <v>-22502</v>
          </cell>
          <cell r="H501">
            <v>-22056.2</v>
          </cell>
        </row>
        <row r="502">
          <cell r="B502">
            <v>23740</v>
          </cell>
          <cell r="C502" t="str">
            <v>ACL Family Learning A/Y 05-06</v>
          </cell>
          <cell r="F502">
            <v>20589.16</v>
          </cell>
          <cell r="G502">
            <v>-20609</v>
          </cell>
          <cell r="H502">
            <v>-19.840000000000146</v>
          </cell>
        </row>
        <row r="503">
          <cell r="B503">
            <v>23744</v>
          </cell>
          <cell r="C503" t="str">
            <v>ACL Fam Lit Lang Num A/Y 05-06</v>
          </cell>
          <cell r="F503">
            <v>36076.42</v>
          </cell>
          <cell r="G503">
            <v>-51664</v>
          </cell>
          <cell r="H503">
            <v>-15587.580000000002</v>
          </cell>
        </row>
        <row r="504">
          <cell r="B504">
            <v>23747</v>
          </cell>
          <cell r="C504" t="str">
            <v>LSC DDA Fin/Y 2005-06</v>
          </cell>
          <cell r="F504">
            <v>-5353.6</v>
          </cell>
          <cell r="G504">
            <v>0</v>
          </cell>
          <cell r="H504">
            <v>-5353.6</v>
          </cell>
        </row>
        <row r="505">
          <cell r="B505">
            <v>23781</v>
          </cell>
          <cell r="C505" t="str">
            <v>ESF 97-Youth To Study To Work</v>
          </cell>
          <cell r="F505">
            <v>110.94</v>
          </cell>
          <cell r="G505">
            <v>0</v>
          </cell>
          <cell r="H505">
            <v>110.94</v>
          </cell>
        </row>
        <row r="506">
          <cell r="B506">
            <v>23791</v>
          </cell>
          <cell r="C506" t="str">
            <v>Ad Ed Corp Chgs (All Years)</v>
          </cell>
          <cell r="F506">
            <v>-21684.59</v>
          </cell>
          <cell r="G506">
            <v>0</v>
          </cell>
          <cell r="H506">
            <v>-21684.59</v>
          </cell>
        </row>
        <row r="507">
          <cell r="B507">
            <v>23792</v>
          </cell>
          <cell r="C507" t="str">
            <v>Ad Ed Provision</v>
          </cell>
          <cell r="F507">
            <v>11065.31</v>
          </cell>
          <cell r="G507">
            <v>53718.98</v>
          </cell>
          <cell r="H507">
            <v>64784.29</v>
          </cell>
        </row>
        <row r="508">
          <cell r="B508">
            <v>23793</v>
          </cell>
          <cell r="C508" t="str">
            <v>Long Lane - Catering</v>
          </cell>
          <cell r="F508">
            <v>15749.3</v>
          </cell>
          <cell r="G508">
            <v>-9935.27</v>
          </cell>
          <cell r="H508">
            <v>5814.0299999999988</v>
          </cell>
        </row>
        <row r="509">
          <cell r="B509">
            <v>23794</v>
          </cell>
          <cell r="C509" t="str">
            <v>Brookfield - Catering</v>
          </cell>
          <cell r="F509">
            <v>19727.310000000001</v>
          </cell>
          <cell r="G509">
            <v>-14644.82</v>
          </cell>
          <cell r="H509">
            <v>5082.4900000000016</v>
          </cell>
        </row>
        <row r="510">
          <cell r="B510">
            <v>23797</v>
          </cell>
          <cell r="C510" t="str">
            <v>Ad Educ Holding CC A/Y 05-06</v>
          </cell>
          <cell r="F510">
            <v>550854.32999999996</v>
          </cell>
          <cell r="G510">
            <v>-30456.57</v>
          </cell>
          <cell r="H510">
            <v>520397.75999999995</v>
          </cell>
        </row>
        <row r="511">
          <cell r="B511">
            <v>23798</v>
          </cell>
          <cell r="C511" t="str">
            <v>Ad Educ Holding CC  A/Y 04-05</v>
          </cell>
          <cell r="F511">
            <v>2760</v>
          </cell>
          <cell r="G511">
            <v>0</v>
          </cell>
          <cell r="H511">
            <v>2760</v>
          </cell>
        </row>
        <row r="512">
          <cell r="B512">
            <v>23799</v>
          </cell>
          <cell r="C512" t="str">
            <v>Adult Educ-Hldg Code Lea/Fefc</v>
          </cell>
          <cell r="F512">
            <v>59206.09</v>
          </cell>
          <cell r="G512">
            <v>0</v>
          </cell>
          <cell r="H512">
            <v>59206.09</v>
          </cell>
        </row>
        <row r="513">
          <cell r="B513">
            <v>23800</v>
          </cell>
          <cell r="C513" t="str">
            <v>MTC - Premature Retirement</v>
          </cell>
          <cell r="F513">
            <v>23743.49</v>
          </cell>
          <cell r="G513">
            <v>0</v>
          </cell>
          <cell r="H513">
            <v>23743.49</v>
          </cell>
        </row>
        <row r="514">
          <cell r="B514">
            <v>23801</v>
          </cell>
          <cell r="C514" t="str">
            <v>ACL Main Grant A/Y 06-07</v>
          </cell>
          <cell r="F514">
            <v>278498.84000000003</v>
          </cell>
          <cell r="G514">
            <v>-628887.44999999995</v>
          </cell>
          <cell r="H514">
            <v>-350388.60999999993</v>
          </cell>
        </row>
        <row r="515">
          <cell r="B515">
            <v>23802</v>
          </cell>
          <cell r="C515" t="str">
            <v>ACL Family Learning A/Y 06-07</v>
          </cell>
          <cell r="F515">
            <v>50600.51</v>
          </cell>
          <cell r="G515">
            <v>-40826</v>
          </cell>
          <cell r="H515">
            <v>9774.510000000002</v>
          </cell>
        </row>
        <row r="516">
          <cell r="B516">
            <v>23803</v>
          </cell>
          <cell r="C516" t="str">
            <v>ACL Family Lit Lang Num A/Y 06-07</v>
          </cell>
          <cell r="F516">
            <v>98780.160000000003</v>
          </cell>
          <cell r="G516">
            <v>-103336</v>
          </cell>
          <cell r="H516">
            <v>-4555.8399999999965</v>
          </cell>
        </row>
        <row r="517">
          <cell r="B517">
            <v>23819</v>
          </cell>
          <cell r="C517" t="str">
            <v>Adult Edu Holding Code A/Y 06-07</v>
          </cell>
          <cell r="F517">
            <v>673579.79</v>
          </cell>
          <cell r="G517">
            <v>-76122.3</v>
          </cell>
          <cell r="H517">
            <v>597457.49</v>
          </cell>
        </row>
        <row r="518">
          <cell r="B518">
            <v>23821</v>
          </cell>
          <cell r="C518" t="str">
            <v>FE Main Grant A/Y 06-07</v>
          </cell>
          <cell r="F518">
            <v>505621.19</v>
          </cell>
          <cell r="G518">
            <v>-1007181.49</v>
          </cell>
          <cell r="H518">
            <v>-501560.3</v>
          </cell>
        </row>
        <row r="519">
          <cell r="B519">
            <v>23822</v>
          </cell>
          <cell r="C519" t="str">
            <v>FE Additional Support A/Y 06-07</v>
          </cell>
          <cell r="F519">
            <v>39502.92</v>
          </cell>
          <cell r="G519">
            <v>27517</v>
          </cell>
          <cell r="H519">
            <v>67019.92</v>
          </cell>
        </row>
        <row r="520">
          <cell r="B520">
            <v>23823</v>
          </cell>
          <cell r="C520" t="str">
            <v>FE Learner Support A/Y 06-07</v>
          </cell>
          <cell r="F520">
            <v>7324.46</v>
          </cell>
          <cell r="G520">
            <v>-13159</v>
          </cell>
          <cell r="H520">
            <v>-5834.54</v>
          </cell>
        </row>
        <row r="521">
          <cell r="B521">
            <v>23824</v>
          </cell>
          <cell r="C521" t="str">
            <v>E-Shift Transformation Project</v>
          </cell>
          <cell r="F521">
            <v>6773.85</v>
          </cell>
          <cell r="G521">
            <v>-10000</v>
          </cell>
          <cell r="H521">
            <v>-3226.1499999999996</v>
          </cell>
        </row>
        <row r="522">
          <cell r="B522">
            <v>23900</v>
          </cell>
          <cell r="C522" t="str">
            <v>Other Continuing Education</v>
          </cell>
          <cell r="F522">
            <v>29.5</v>
          </cell>
          <cell r="G522">
            <v>0</v>
          </cell>
          <cell r="H522">
            <v>29.5</v>
          </cell>
        </row>
        <row r="523">
          <cell r="B523">
            <v>24120</v>
          </cell>
          <cell r="C523" t="str">
            <v>SK: Link Counselling/Guidance</v>
          </cell>
          <cell r="F523">
            <v>115796.53</v>
          </cell>
          <cell r="G523">
            <v>-5409.37</v>
          </cell>
          <cell r="H523">
            <v>110387.16</v>
          </cell>
        </row>
        <row r="524">
          <cell r="B524">
            <v>24167</v>
          </cell>
          <cell r="C524" t="str">
            <v>SK: Wellbeing Pilot Project</v>
          </cell>
          <cell r="F524">
            <v>49047.57</v>
          </cell>
          <cell r="G524">
            <v>-23912.43</v>
          </cell>
          <cell r="H524">
            <v>25135.14</v>
          </cell>
        </row>
        <row r="525">
          <cell r="B525">
            <v>24169</v>
          </cell>
          <cell r="C525" t="str">
            <v>SK: Primary Healthcare</v>
          </cell>
          <cell r="F525">
            <v>855493.56</v>
          </cell>
          <cell r="G525">
            <v>-638992.56999999995</v>
          </cell>
          <cell r="H525">
            <v>216500.99000000011</v>
          </cell>
        </row>
        <row r="526">
          <cell r="B526">
            <v>24175</v>
          </cell>
          <cell r="C526" t="str">
            <v>SK: Primary - Life Education</v>
          </cell>
          <cell r="F526">
            <v>84951.35</v>
          </cell>
          <cell r="G526">
            <v>-16139.12</v>
          </cell>
          <cell r="H526">
            <v>68812.23000000001</v>
          </cell>
        </row>
        <row r="527">
          <cell r="B527">
            <v>24176</v>
          </cell>
          <cell r="C527" t="str">
            <v>SK: Secondary Healthcare</v>
          </cell>
          <cell r="F527">
            <v>474715.25</v>
          </cell>
          <cell r="G527">
            <v>-463935.6</v>
          </cell>
          <cell r="H527">
            <v>10779.650000000023</v>
          </cell>
        </row>
        <row r="528">
          <cell r="B528">
            <v>24276</v>
          </cell>
          <cell r="C528" t="str">
            <v>TDA - Performance Management</v>
          </cell>
          <cell r="F528">
            <v>10531.69</v>
          </cell>
          <cell r="G528">
            <v>-10531.82</v>
          </cell>
          <cell r="H528">
            <v>-0.12999999999919964</v>
          </cell>
        </row>
        <row r="529">
          <cell r="B529">
            <v>24277</v>
          </cell>
          <cell r="C529" t="str">
            <v>TTA - Recruitment</v>
          </cell>
          <cell r="F529">
            <v>20000</v>
          </cell>
          <cell r="G529">
            <v>-20000</v>
          </cell>
          <cell r="H529">
            <v>0</v>
          </cell>
        </row>
        <row r="530">
          <cell r="B530">
            <v>24278</v>
          </cell>
          <cell r="C530" t="str">
            <v>TTA - Workforce Adviser</v>
          </cell>
          <cell r="F530">
            <v>112900</v>
          </cell>
          <cell r="G530">
            <v>-112900</v>
          </cell>
          <cell r="H530">
            <v>0</v>
          </cell>
        </row>
        <row r="531">
          <cell r="B531">
            <v>24279</v>
          </cell>
          <cell r="C531" t="str">
            <v>TTA - HLTA Training</v>
          </cell>
          <cell r="F531">
            <v>81094.91</v>
          </cell>
          <cell r="G531">
            <v>-51750</v>
          </cell>
          <cell r="H531">
            <v>29344.910000000003</v>
          </cell>
        </row>
        <row r="532">
          <cell r="B532">
            <v>24286</v>
          </cell>
          <cell r="C532" t="str">
            <v>SIS Curriculum Support SLA</v>
          </cell>
          <cell r="F532">
            <v>0</v>
          </cell>
          <cell r="G532">
            <v>-114578.75</v>
          </cell>
          <cell r="H532">
            <v>-114578.75</v>
          </cell>
        </row>
        <row r="533">
          <cell r="B533">
            <v>24287</v>
          </cell>
          <cell r="C533" t="str">
            <v>SIS Management Support SLA</v>
          </cell>
          <cell r="F533">
            <v>0</v>
          </cell>
          <cell r="G533">
            <v>-96683.1</v>
          </cell>
          <cell r="H533">
            <v>-96683.1</v>
          </cell>
        </row>
        <row r="534">
          <cell r="B534">
            <v>24288</v>
          </cell>
          <cell r="C534" t="str">
            <v>SIS NQT Induction SLA</v>
          </cell>
          <cell r="F534">
            <v>56626.559999999998</v>
          </cell>
          <cell r="G534">
            <v>-56626.559999999998</v>
          </cell>
          <cell r="H534">
            <v>0</v>
          </cell>
        </row>
        <row r="535">
          <cell r="B535">
            <v>24289</v>
          </cell>
          <cell r="C535" t="str">
            <v>SIS Pay-As-You-Go SLA Income</v>
          </cell>
          <cell r="F535">
            <v>0</v>
          </cell>
          <cell r="G535">
            <v>-14444.05</v>
          </cell>
          <cell r="H535">
            <v>-14444.05</v>
          </cell>
        </row>
        <row r="536">
          <cell r="B536">
            <v>24290</v>
          </cell>
          <cell r="C536" t="str">
            <v>SIS Civic Centre Expenditure</v>
          </cell>
          <cell r="F536">
            <v>73482.789999999994</v>
          </cell>
          <cell r="G536">
            <v>0</v>
          </cell>
          <cell r="H536">
            <v>73482.789999999994</v>
          </cell>
        </row>
        <row r="537">
          <cell r="B537">
            <v>24291</v>
          </cell>
          <cell r="C537" t="str">
            <v>SIS Queenswalk Expenditure</v>
          </cell>
          <cell r="F537">
            <v>28086.82</v>
          </cell>
          <cell r="G537">
            <v>0</v>
          </cell>
          <cell r="H537">
            <v>28086.82</v>
          </cell>
        </row>
        <row r="538">
          <cell r="B538">
            <v>24292</v>
          </cell>
          <cell r="C538" t="str">
            <v>Governor Training And Support</v>
          </cell>
          <cell r="F538">
            <v>21037.61</v>
          </cell>
          <cell r="G538">
            <v>-3565</v>
          </cell>
          <cell r="H538">
            <v>17472.61</v>
          </cell>
        </row>
        <row r="539">
          <cell r="B539">
            <v>24293</v>
          </cell>
          <cell r="C539" t="str">
            <v>SIS Other Income</v>
          </cell>
          <cell r="F539">
            <v>0</v>
          </cell>
          <cell r="G539">
            <v>-300</v>
          </cell>
          <cell r="H539">
            <v>-300</v>
          </cell>
        </row>
        <row r="540">
          <cell r="B540">
            <v>24295</v>
          </cell>
          <cell r="C540" t="str">
            <v>Lifelong Learning Services</v>
          </cell>
          <cell r="F540">
            <v>95268.57</v>
          </cell>
          <cell r="G540">
            <v>-47800</v>
          </cell>
          <cell r="H540">
            <v>47468.570000000007</v>
          </cell>
        </row>
        <row r="541">
          <cell r="B541">
            <v>24296</v>
          </cell>
          <cell r="C541" t="str">
            <v>SIS Employee &amp; Consultancy Costs</v>
          </cell>
          <cell r="F541">
            <v>923321.73</v>
          </cell>
          <cell r="G541">
            <v>-4000</v>
          </cell>
          <cell r="H541">
            <v>919321.73</v>
          </cell>
        </row>
        <row r="542">
          <cell r="B542">
            <v>24297</v>
          </cell>
          <cell r="C542" t="str">
            <v>PE &amp; Sport CPD Prog</v>
          </cell>
          <cell r="F542">
            <v>1637.77</v>
          </cell>
          <cell r="G542">
            <v>-1637.77</v>
          </cell>
          <cell r="H542">
            <v>0</v>
          </cell>
        </row>
        <row r="543">
          <cell r="B543">
            <v>24298</v>
          </cell>
          <cell r="C543" t="str">
            <v>Schl Sport Co-ord Programme</v>
          </cell>
          <cell r="F543">
            <v>1907.81</v>
          </cell>
          <cell r="G543">
            <v>0</v>
          </cell>
          <cell r="H543">
            <v>1907.81</v>
          </cell>
        </row>
        <row r="544">
          <cell r="B544">
            <v>24300</v>
          </cell>
          <cell r="C544" t="str">
            <v>Support Services General</v>
          </cell>
          <cell r="F544">
            <v>2174908.44</v>
          </cell>
          <cell r="G544">
            <v>-25000</v>
          </cell>
          <cell r="H544">
            <v>2149908.44</v>
          </cell>
        </row>
        <row r="545">
          <cell r="B545">
            <v>24302</v>
          </cell>
          <cell r="C545" t="str">
            <v>ECS Restructuring</v>
          </cell>
          <cell r="F545">
            <v>148085.32</v>
          </cell>
          <cell r="G545">
            <v>0</v>
          </cell>
          <cell r="H545">
            <v>148085.32</v>
          </cell>
        </row>
        <row r="546">
          <cell r="B546">
            <v>24306</v>
          </cell>
          <cell r="C546" t="str">
            <v>Insurance Delegated To Schools</v>
          </cell>
          <cell r="F546">
            <v>581436.68000000005</v>
          </cell>
          <cell r="G546">
            <v>-581436.68000000005</v>
          </cell>
          <cell r="H546">
            <v>0</v>
          </cell>
        </row>
        <row r="547">
          <cell r="B547">
            <v>24307</v>
          </cell>
          <cell r="C547" t="str">
            <v>Asset Management Plan</v>
          </cell>
          <cell r="F547">
            <v>192701.69</v>
          </cell>
          <cell r="G547">
            <v>0</v>
          </cell>
          <cell r="H547">
            <v>192701.69</v>
          </cell>
        </row>
        <row r="548">
          <cell r="B548">
            <v>24308</v>
          </cell>
          <cell r="C548" t="str">
            <v>Directorate Support</v>
          </cell>
          <cell r="F548">
            <v>119663.38</v>
          </cell>
          <cell r="G548">
            <v>-40103.269999999997</v>
          </cell>
          <cell r="H548">
            <v>79560.110000000015</v>
          </cell>
        </row>
        <row r="549">
          <cell r="B549">
            <v>24310</v>
          </cell>
          <cell r="C549" t="str">
            <v>Director's Office</v>
          </cell>
          <cell r="F549">
            <v>320742.34999999998</v>
          </cell>
          <cell r="G549">
            <v>0</v>
          </cell>
          <cell r="H549">
            <v>320742.34999999998</v>
          </cell>
        </row>
        <row r="550">
          <cell r="B550">
            <v>24313</v>
          </cell>
          <cell r="C550" t="str">
            <v>Finance and Resources</v>
          </cell>
          <cell r="F550">
            <v>154705.01999999999</v>
          </cell>
          <cell r="G550">
            <v>-62383.86</v>
          </cell>
          <cell r="H550">
            <v>92321.159999999989</v>
          </cell>
        </row>
        <row r="551">
          <cell r="B551">
            <v>24314</v>
          </cell>
          <cell r="C551" t="str">
            <v>Awards Administration</v>
          </cell>
          <cell r="F551">
            <v>161886.25</v>
          </cell>
          <cell r="G551">
            <v>0</v>
          </cell>
          <cell r="H551">
            <v>161886.25</v>
          </cell>
        </row>
        <row r="552">
          <cell r="B552">
            <v>24316</v>
          </cell>
          <cell r="C552" t="str">
            <v>Policy, Research &amp; Ict</v>
          </cell>
          <cell r="F552">
            <v>411397.53</v>
          </cell>
          <cell r="G552">
            <v>-2500</v>
          </cell>
          <cell r="H552">
            <v>408897.53</v>
          </cell>
        </row>
        <row r="553">
          <cell r="B553">
            <v>24321</v>
          </cell>
          <cell r="C553" t="str">
            <v>Families in Need - Childcare Suppo</v>
          </cell>
          <cell r="F553">
            <v>10227.25</v>
          </cell>
          <cell r="G553">
            <v>2522.75</v>
          </cell>
          <cell r="H553">
            <v>12750</v>
          </cell>
        </row>
        <row r="554">
          <cell r="B554">
            <v>24323</v>
          </cell>
          <cell r="C554" t="str">
            <v>Personnel Services</v>
          </cell>
          <cell r="F554">
            <v>391259.84</v>
          </cell>
          <cell r="G554">
            <v>-356581.55</v>
          </cell>
          <cell r="H554">
            <v>34678.290000000037</v>
          </cell>
        </row>
        <row r="555">
          <cell r="B555">
            <v>24324</v>
          </cell>
          <cell r="C555" t="str">
            <v>EYL Central Staff - Premature Reti</v>
          </cell>
          <cell r="F555">
            <v>374431.04</v>
          </cell>
          <cell r="G555">
            <v>0</v>
          </cell>
          <cell r="H555">
            <v>374431.04</v>
          </cell>
        </row>
        <row r="556">
          <cell r="B556">
            <v>24325</v>
          </cell>
          <cell r="C556" t="str">
            <v>Supply Agency Admin.- SLA Income</v>
          </cell>
          <cell r="F556">
            <v>108.71</v>
          </cell>
          <cell r="G556">
            <v>-21960</v>
          </cell>
          <cell r="H556">
            <v>-21851.29</v>
          </cell>
        </row>
        <row r="557">
          <cell r="B557">
            <v>24326</v>
          </cell>
          <cell r="C557" t="str">
            <v>Foreign Lang Tchrs Trading A/C</v>
          </cell>
          <cell r="F557">
            <v>38318.839999999997</v>
          </cell>
          <cell r="G557">
            <v>-43856.62</v>
          </cell>
          <cell r="H557">
            <v>-5537.7800000000061</v>
          </cell>
        </row>
        <row r="558">
          <cell r="B558">
            <v>24327</v>
          </cell>
          <cell r="C558" t="str">
            <v>Schools Adverts Trading A/C</v>
          </cell>
          <cell r="F558">
            <v>214558.47</v>
          </cell>
          <cell r="G558">
            <v>-217307.76</v>
          </cell>
          <cell r="H558">
            <v>-2749.2900000000081</v>
          </cell>
        </row>
        <row r="559">
          <cell r="B559">
            <v>24328</v>
          </cell>
          <cell r="C559" t="str">
            <v>Nqt'S Recruitment Trading A/C</v>
          </cell>
          <cell r="F559">
            <v>22508.84</v>
          </cell>
          <cell r="G559">
            <v>0</v>
          </cell>
          <cell r="H559">
            <v>22508.84</v>
          </cell>
        </row>
        <row r="560">
          <cell r="B560">
            <v>24329</v>
          </cell>
          <cell r="C560" t="str">
            <v>Core Childcare &amp; Early Years</v>
          </cell>
          <cell r="F560">
            <v>386725.52</v>
          </cell>
          <cell r="G560">
            <v>109276.48</v>
          </cell>
          <cell r="H560">
            <v>496002</v>
          </cell>
        </row>
        <row r="561">
          <cell r="B561">
            <v>24345</v>
          </cell>
          <cell r="C561" t="str">
            <v>Hill/Don Design &amp; Reprographic</v>
          </cell>
          <cell r="F561">
            <v>131557.9</v>
          </cell>
          <cell r="G561">
            <v>-94983.96</v>
          </cell>
          <cell r="H561">
            <v>36573.939999999988</v>
          </cell>
        </row>
        <row r="562">
          <cell r="B562">
            <v>24346</v>
          </cell>
          <cell r="C562" t="str">
            <v>Support Services</v>
          </cell>
          <cell r="F562">
            <v>316229.58</v>
          </cell>
          <cell r="G562">
            <v>0</v>
          </cell>
          <cell r="H562">
            <v>316229.58</v>
          </cell>
        </row>
        <row r="563">
          <cell r="B563">
            <v>24348</v>
          </cell>
          <cell r="C563" t="str">
            <v>Property Management</v>
          </cell>
          <cell r="F563">
            <v>201412.41</v>
          </cell>
          <cell r="G563">
            <v>50</v>
          </cell>
          <cell r="H563">
            <v>201462.41</v>
          </cell>
        </row>
        <row r="564">
          <cell r="B564">
            <v>24351</v>
          </cell>
          <cell r="C564" t="str">
            <v>Pfi Project</v>
          </cell>
          <cell r="F564">
            <v>33.46</v>
          </cell>
          <cell r="G564">
            <v>0</v>
          </cell>
          <cell r="H564">
            <v>33.46</v>
          </cell>
        </row>
        <row r="565">
          <cell r="B565">
            <v>24354</v>
          </cell>
          <cell r="C565" t="str">
            <v>Hillingdon Grid for Learning</v>
          </cell>
          <cell r="F565">
            <v>2213310.2000000002</v>
          </cell>
          <cell r="G565">
            <v>-1876192.31</v>
          </cell>
          <cell r="H565">
            <v>337117.89000000013</v>
          </cell>
        </row>
        <row r="566">
          <cell r="B566">
            <v>24355</v>
          </cell>
          <cell r="C566" t="str">
            <v>Overhead MISC</v>
          </cell>
          <cell r="F566">
            <v>244510</v>
          </cell>
          <cell r="G566">
            <v>0</v>
          </cell>
          <cell r="H566">
            <v>244510</v>
          </cell>
        </row>
        <row r="567">
          <cell r="B567">
            <v>24359</v>
          </cell>
          <cell r="C567" t="str">
            <v>Cent Fund-Deanesfield D/R Cent</v>
          </cell>
          <cell r="F567">
            <v>894.97</v>
          </cell>
          <cell r="G567">
            <v>0</v>
          </cell>
          <cell r="H567">
            <v>894.97</v>
          </cell>
        </row>
        <row r="568">
          <cell r="B568">
            <v>24360</v>
          </cell>
          <cell r="C568" t="str">
            <v>Challenge Fund (SIS)</v>
          </cell>
          <cell r="F568">
            <v>2341.19</v>
          </cell>
          <cell r="G568">
            <v>-1800</v>
          </cell>
          <cell r="H568">
            <v>541.19000000000005</v>
          </cell>
        </row>
        <row r="569">
          <cell r="B569">
            <v>24361</v>
          </cell>
          <cell r="C569" t="str">
            <v>Nestles Avenue Childrens Centre</v>
          </cell>
          <cell r="F569">
            <v>363190.9</v>
          </cell>
          <cell r="G569">
            <v>-29120.9</v>
          </cell>
          <cell r="H569">
            <v>334070</v>
          </cell>
        </row>
        <row r="570">
          <cell r="B570">
            <v>24362</v>
          </cell>
          <cell r="C570" t="str">
            <v>Sth Ruislip Early Years Centre</v>
          </cell>
          <cell r="F570">
            <v>435205.77</v>
          </cell>
          <cell r="G570">
            <v>-216925.77</v>
          </cell>
          <cell r="H570">
            <v>218280.00000000003</v>
          </cell>
        </row>
        <row r="571">
          <cell r="B571">
            <v>24363</v>
          </cell>
          <cell r="C571" t="str">
            <v>Uxbridge Early Years Centre</v>
          </cell>
          <cell r="F571">
            <v>395396.1</v>
          </cell>
          <cell r="G571">
            <v>-165486.1</v>
          </cell>
          <cell r="H571">
            <v>229909.99999999997</v>
          </cell>
        </row>
        <row r="572">
          <cell r="B572">
            <v>24369</v>
          </cell>
          <cell r="C572" t="str">
            <v>Existing Early Years for L.I.D</v>
          </cell>
          <cell r="F572">
            <v>4256.78</v>
          </cell>
          <cell r="G572">
            <v>0</v>
          </cell>
          <cell r="H572">
            <v>4256.78</v>
          </cell>
        </row>
        <row r="573">
          <cell r="B573">
            <v>24370</v>
          </cell>
          <cell r="C573" t="str">
            <v>Prof Assocns/Trade Unions</v>
          </cell>
          <cell r="F573">
            <v>39685.43</v>
          </cell>
          <cell r="G573">
            <v>0</v>
          </cell>
          <cell r="H573">
            <v>39685.43</v>
          </cell>
        </row>
        <row r="574">
          <cell r="B574">
            <v>24376</v>
          </cell>
          <cell r="C574" t="str">
            <v>DfES/Brunel KS 1 Project</v>
          </cell>
          <cell r="F574">
            <v>765.75</v>
          </cell>
          <cell r="G574">
            <v>0</v>
          </cell>
          <cell r="H574">
            <v>765.75</v>
          </cell>
        </row>
        <row r="575">
          <cell r="B575">
            <v>24377</v>
          </cell>
          <cell r="C575" t="str">
            <v>Hsacre</v>
          </cell>
          <cell r="F575">
            <v>553.26</v>
          </cell>
          <cell r="G575">
            <v>0</v>
          </cell>
          <cell r="H575">
            <v>553.26</v>
          </cell>
        </row>
        <row r="576">
          <cell r="B576">
            <v>24378</v>
          </cell>
          <cell r="C576" t="str">
            <v>Childrens Fund-Holiday Activities</v>
          </cell>
          <cell r="F576">
            <v>28515.7</v>
          </cell>
          <cell r="G576">
            <v>-25086.35</v>
          </cell>
          <cell r="H576">
            <v>3429.3500000000022</v>
          </cell>
        </row>
        <row r="577">
          <cell r="B577">
            <v>24379</v>
          </cell>
          <cell r="C577" t="str">
            <v>CG- Neighbourhood Nursery Initiati</v>
          </cell>
          <cell r="F577">
            <v>0</v>
          </cell>
          <cell r="G577">
            <v>1290</v>
          </cell>
          <cell r="H577">
            <v>1290</v>
          </cell>
        </row>
        <row r="578">
          <cell r="B578">
            <v>24398</v>
          </cell>
          <cell r="C578" t="str">
            <v>Harlington Community Nursery</v>
          </cell>
          <cell r="F578">
            <v>4087.2</v>
          </cell>
          <cell r="G578">
            <v>0</v>
          </cell>
          <cell r="H578">
            <v>4087.2</v>
          </cell>
        </row>
        <row r="579">
          <cell r="B579">
            <v>24403</v>
          </cell>
          <cell r="C579" t="str">
            <v>CG-04/06-Workforce Development</v>
          </cell>
          <cell r="F579">
            <v>903.83</v>
          </cell>
          <cell r="G579">
            <v>10416.17</v>
          </cell>
          <cell r="H579">
            <v>11320</v>
          </cell>
        </row>
        <row r="580">
          <cell r="B580">
            <v>24416</v>
          </cell>
          <cell r="C580" t="str">
            <v>CG-04/06-Sustainability of Market</v>
          </cell>
          <cell r="F580">
            <v>-16076</v>
          </cell>
          <cell r="G580">
            <v>16076</v>
          </cell>
          <cell r="H580">
            <v>0</v>
          </cell>
        </row>
        <row r="581">
          <cell r="B581">
            <v>24419</v>
          </cell>
          <cell r="C581" t="str">
            <v>CG-04/06-Central Administration"</v>
          </cell>
          <cell r="F581">
            <v>851.77</v>
          </cell>
          <cell r="G581">
            <v>-851.77</v>
          </cell>
          <cell r="H581">
            <v>0</v>
          </cell>
        </row>
        <row r="582">
          <cell r="B582">
            <v>24420</v>
          </cell>
          <cell r="C582" t="str">
            <v>Full DC-Hayes NNI &amp; EYC</v>
          </cell>
          <cell r="F582">
            <v>2163</v>
          </cell>
          <cell r="G582">
            <v>-2163</v>
          </cell>
          <cell r="H582">
            <v>0</v>
          </cell>
        </row>
        <row r="583">
          <cell r="B583">
            <v>24421</v>
          </cell>
          <cell r="C583" t="str">
            <v>Full DC-Little Pixies</v>
          </cell>
          <cell r="F583">
            <v>370</v>
          </cell>
          <cell r="G583">
            <v>-370</v>
          </cell>
          <cell r="H583">
            <v>0</v>
          </cell>
        </row>
        <row r="584">
          <cell r="B584">
            <v>24422</v>
          </cell>
          <cell r="C584" t="str">
            <v>Flexible DC-McMillans Early Childh</v>
          </cell>
          <cell r="F584">
            <v>816</v>
          </cell>
          <cell r="G584">
            <v>-816</v>
          </cell>
          <cell r="H584">
            <v>0</v>
          </cell>
        </row>
        <row r="585">
          <cell r="B585">
            <v>24423</v>
          </cell>
          <cell r="C585" t="str">
            <v>Full DC-Premiere Nursery-Ux.</v>
          </cell>
          <cell r="F585">
            <v>5108</v>
          </cell>
          <cell r="G585">
            <v>-5108</v>
          </cell>
          <cell r="H585">
            <v>0</v>
          </cell>
        </row>
        <row r="586">
          <cell r="B586">
            <v>24424</v>
          </cell>
          <cell r="C586" t="str">
            <v>Full DC-Premiere Nursery-WD</v>
          </cell>
          <cell r="F586">
            <v>5475</v>
          </cell>
          <cell r="G586">
            <v>-5475</v>
          </cell>
          <cell r="H586">
            <v>0</v>
          </cell>
        </row>
        <row r="587">
          <cell r="B587">
            <v>24425</v>
          </cell>
          <cell r="C587" t="str">
            <v>Flexible DC-Scallywags</v>
          </cell>
          <cell r="F587">
            <v>19926</v>
          </cell>
          <cell r="G587">
            <v>-19926</v>
          </cell>
          <cell r="H587">
            <v>0</v>
          </cell>
        </row>
        <row r="588">
          <cell r="B588">
            <v>24430</v>
          </cell>
          <cell r="C588" t="str">
            <v>CG-06/08-SEN &amp; Inclusion</v>
          </cell>
          <cell r="F588">
            <v>167684.47</v>
          </cell>
          <cell r="G588">
            <v>-167684.47</v>
          </cell>
          <cell r="H588">
            <v>0</v>
          </cell>
        </row>
        <row r="589">
          <cell r="B589">
            <v>24431</v>
          </cell>
          <cell r="C589" t="str">
            <v>CG-06/08-W.Dev.-F'tion Stage</v>
          </cell>
          <cell r="F589">
            <v>197627.3</v>
          </cell>
          <cell r="G589">
            <v>-190624.2</v>
          </cell>
          <cell r="H589">
            <v>7003.0999999999767</v>
          </cell>
        </row>
        <row r="590">
          <cell r="B590">
            <v>24432</v>
          </cell>
          <cell r="C590" t="str">
            <v>CG-06/08-W.Dev.-Childcare Training</v>
          </cell>
          <cell r="F590">
            <v>155382.04</v>
          </cell>
          <cell r="G590">
            <v>-155382.04</v>
          </cell>
          <cell r="H590">
            <v>0</v>
          </cell>
        </row>
        <row r="591">
          <cell r="B591">
            <v>24433</v>
          </cell>
          <cell r="C591" t="str">
            <v>CG-06/08-Childrens Centre</v>
          </cell>
          <cell r="F591">
            <v>689862.46</v>
          </cell>
          <cell r="G591">
            <v>-686330.66</v>
          </cell>
          <cell r="H591">
            <v>3531.7999999999302</v>
          </cell>
        </row>
        <row r="592">
          <cell r="B592">
            <v>24434</v>
          </cell>
          <cell r="C592" t="str">
            <v>CG-06/08-Sustainability</v>
          </cell>
          <cell r="F592">
            <v>6828.06</v>
          </cell>
          <cell r="G592">
            <v>-6828.06</v>
          </cell>
          <cell r="H592">
            <v>0</v>
          </cell>
        </row>
        <row r="593">
          <cell r="B593">
            <v>24435</v>
          </cell>
          <cell r="C593" t="str">
            <v>CG-06/08-Central Administration</v>
          </cell>
          <cell r="F593">
            <v>610646.9</v>
          </cell>
          <cell r="G593">
            <v>-579714.84</v>
          </cell>
          <cell r="H593">
            <v>30932.060000000056</v>
          </cell>
        </row>
        <row r="594">
          <cell r="B594">
            <v>24436</v>
          </cell>
          <cell r="C594" t="str">
            <v>CG-06/08-Extended Schools</v>
          </cell>
          <cell r="F594">
            <v>200</v>
          </cell>
          <cell r="G594">
            <v>-200</v>
          </cell>
          <cell r="H594">
            <v>0</v>
          </cell>
        </row>
        <row r="595">
          <cell r="B595">
            <v>24439</v>
          </cell>
          <cell r="C595" t="str">
            <v>CG-06/08-W.Dev.-Recruitment Campai</v>
          </cell>
          <cell r="F595">
            <v>11258.07</v>
          </cell>
          <cell r="G595">
            <v>-11258.07</v>
          </cell>
          <cell r="H595">
            <v>0</v>
          </cell>
        </row>
        <row r="596">
          <cell r="B596">
            <v>24440</v>
          </cell>
          <cell r="C596" t="str">
            <v>Lif Project</v>
          </cell>
          <cell r="F596">
            <v>245.57</v>
          </cell>
          <cell r="G596">
            <v>0</v>
          </cell>
          <cell r="H596">
            <v>245.57</v>
          </cell>
        </row>
        <row r="597">
          <cell r="B597">
            <v>24460</v>
          </cell>
          <cell r="C597" t="str">
            <v>Flexible DC-Hayes NNI &amp; EYC</v>
          </cell>
          <cell r="F597">
            <v>5191</v>
          </cell>
          <cell r="G597">
            <v>-5191</v>
          </cell>
          <cell r="H597">
            <v>0</v>
          </cell>
        </row>
        <row r="598">
          <cell r="B598">
            <v>24463</v>
          </cell>
          <cell r="C598" t="str">
            <v>Flexible DC-Little Pixies</v>
          </cell>
          <cell r="F598">
            <v>13642</v>
          </cell>
          <cell r="G598">
            <v>-13642</v>
          </cell>
          <cell r="H598">
            <v>0</v>
          </cell>
        </row>
        <row r="599">
          <cell r="B599">
            <v>24464</v>
          </cell>
          <cell r="C599" t="str">
            <v>Flexible DC-Premiere Nursery-Ux.</v>
          </cell>
          <cell r="F599">
            <v>8666</v>
          </cell>
          <cell r="G599">
            <v>-8666</v>
          </cell>
          <cell r="H599">
            <v>0</v>
          </cell>
        </row>
        <row r="600">
          <cell r="B600">
            <v>24465</v>
          </cell>
          <cell r="C600" t="str">
            <v>Flexible DC-Premiere Nursery-WD</v>
          </cell>
          <cell r="F600">
            <v>9988</v>
          </cell>
          <cell r="G600">
            <v>-9988</v>
          </cell>
          <cell r="H600">
            <v>0</v>
          </cell>
        </row>
        <row r="601">
          <cell r="B601">
            <v>24473</v>
          </cell>
          <cell r="C601" t="str">
            <v>Full DC - Buttercups Day Nursery</v>
          </cell>
          <cell r="F601">
            <v>3060</v>
          </cell>
          <cell r="G601">
            <v>-3060</v>
          </cell>
          <cell r="H601">
            <v>0</v>
          </cell>
        </row>
        <row r="602">
          <cell r="B602">
            <v>24474</v>
          </cell>
          <cell r="C602" t="str">
            <v>Full DC - Once Upon A Time - Babie</v>
          </cell>
          <cell r="F602">
            <v>927</v>
          </cell>
          <cell r="G602">
            <v>-927</v>
          </cell>
          <cell r="H602">
            <v>0</v>
          </cell>
        </row>
        <row r="603">
          <cell r="B603">
            <v>24476</v>
          </cell>
          <cell r="C603" t="str">
            <v>Full DC - Once Upon A Time - St Ed</v>
          </cell>
          <cell r="F603">
            <v>309</v>
          </cell>
          <cell r="G603">
            <v>-309</v>
          </cell>
          <cell r="H603">
            <v>0</v>
          </cell>
        </row>
        <row r="604">
          <cell r="B604">
            <v>24477</v>
          </cell>
          <cell r="C604" t="str">
            <v>Flexible DC - Buttercups Day Nurse</v>
          </cell>
          <cell r="F604">
            <v>5191</v>
          </cell>
          <cell r="G604">
            <v>-5191</v>
          </cell>
          <cell r="H604">
            <v>0</v>
          </cell>
        </row>
        <row r="605">
          <cell r="B605">
            <v>24478</v>
          </cell>
          <cell r="C605" t="str">
            <v>Flexible DC - Once Upon A Time - C</v>
          </cell>
          <cell r="F605">
            <v>5043</v>
          </cell>
          <cell r="G605">
            <v>-5043</v>
          </cell>
          <cell r="H605">
            <v>0</v>
          </cell>
        </row>
        <row r="606">
          <cell r="B606">
            <v>24479</v>
          </cell>
          <cell r="C606" t="str">
            <v>Flexible DC - Once Upon A Time - B</v>
          </cell>
          <cell r="F606">
            <v>8405</v>
          </cell>
          <cell r="G606">
            <v>-8405</v>
          </cell>
          <cell r="H606">
            <v>0</v>
          </cell>
        </row>
        <row r="607">
          <cell r="B607">
            <v>24480</v>
          </cell>
          <cell r="C607" t="str">
            <v>Flexible DC - Once Upon A Time - S</v>
          </cell>
          <cell r="F607">
            <v>4202</v>
          </cell>
          <cell r="G607">
            <v>-4202</v>
          </cell>
          <cell r="H607">
            <v>0</v>
          </cell>
        </row>
        <row r="608">
          <cell r="B608">
            <v>24511</v>
          </cell>
          <cell r="C608" t="str">
            <v>Lea Initvs-Miscellaneous</v>
          </cell>
          <cell r="F608">
            <v>2179.69</v>
          </cell>
          <cell r="G608">
            <v>0</v>
          </cell>
          <cell r="H608">
            <v>2179.69</v>
          </cell>
        </row>
        <row r="609">
          <cell r="B609">
            <v>24660</v>
          </cell>
          <cell r="C609" t="str">
            <v>CG-06/08-CIS &amp; Local Info to paren</v>
          </cell>
          <cell r="F609">
            <v>107845.42</v>
          </cell>
          <cell r="G609">
            <v>-107845.42</v>
          </cell>
          <cell r="H609">
            <v>0</v>
          </cell>
        </row>
        <row r="610">
          <cell r="B610">
            <v>24662</v>
          </cell>
          <cell r="C610" t="str">
            <v>CG-06/08-Mkt Facilitation &amp; Needs</v>
          </cell>
          <cell r="F610">
            <v>61608.03</v>
          </cell>
          <cell r="G610">
            <v>-60164.41</v>
          </cell>
          <cell r="H610">
            <v>1443.6199999999953</v>
          </cell>
        </row>
        <row r="611">
          <cell r="B611">
            <v>24663</v>
          </cell>
          <cell r="C611" t="str">
            <v>CG-06/08-NCP-Revenue</v>
          </cell>
          <cell r="F611">
            <v>32180.799999999999</v>
          </cell>
          <cell r="G611">
            <v>-32180.799999999999</v>
          </cell>
          <cell r="H611">
            <v>0</v>
          </cell>
        </row>
        <row r="612">
          <cell r="B612">
            <v>24680</v>
          </cell>
          <cell r="C612" t="str">
            <v>CG-06/08-TF-Quality Premium</v>
          </cell>
          <cell r="F612">
            <v>5620.5</v>
          </cell>
          <cell r="G612">
            <v>-5620.5</v>
          </cell>
          <cell r="H612">
            <v>0</v>
          </cell>
        </row>
        <row r="613">
          <cell r="B613">
            <v>24682</v>
          </cell>
          <cell r="C613" t="str">
            <v>CG-06/08-TF-Disability/SEN</v>
          </cell>
          <cell r="F613">
            <v>20633.11</v>
          </cell>
          <cell r="G613">
            <v>-20633.11</v>
          </cell>
          <cell r="H613">
            <v>0</v>
          </cell>
        </row>
        <row r="614">
          <cell r="B614">
            <v>24683</v>
          </cell>
          <cell r="C614" t="str">
            <v>CG-06/08-TF-Training</v>
          </cell>
          <cell r="F614">
            <v>18152.560000000001</v>
          </cell>
          <cell r="G614">
            <v>-18152.560000000001</v>
          </cell>
          <cell r="H614">
            <v>0</v>
          </cell>
        </row>
        <row r="615">
          <cell r="B615">
            <v>26027</v>
          </cell>
          <cell r="C615" t="str">
            <v>SF 31a - ICT Infrastructure (Retai</v>
          </cell>
          <cell r="F615">
            <v>36594.86</v>
          </cell>
          <cell r="G615">
            <v>-43820</v>
          </cell>
          <cell r="H615">
            <v>-7225.1399999999994</v>
          </cell>
        </row>
        <row r="616">
          <cell r="B616">
            <v>26038</v>
          </cell>
          <cell r="C616" t="str">
            <v>SK: SF 204B School Drug,Alcohol &amp;</v>
          </cell>
          <cell r="F616">
            <v>73334.09</v>
          </cell>
          <cell r="G616">
            <v>-137.52000000000001</v>
          </cell>
          <cell r="H616">
            <v>73196.569999999992</v>
          </cell>
        </row>
        <row r="617">
          <cell r="B617">
            <v>26084</v>
          </cell>
          <cell r="C617" t="str">
            <v>SF 22 - Primary Strategy Central C</v>
          </cell>
          <cell r="F617">
            <v>227031.79</v>
          </cell>
          <cell r="G617">
            <v>-89991.79</v>
          </cell>
          <cell r="H617">
            <v>137040</v>
          </cell>
        </row>
        <row r="618">
          <cell r="B618">
            <v>26097</v>
          </cell>
          <cell r="C618" t="str">
            <v>TTA-Recruitment</v>
          </cell>
          <cell r="F618">
            <v>239.92</v>
          </cell>
          <cell r="G618">
            <v>0</v>
          </cell>
          <cell r="H618">
            <v>239.92</v>
          </cell>
        </row>
        <row r="619">
          <cell r="B619">
            <v>26115</v>
          </cell>
          <cell r="C619" t="str">
            <v>SF 301(06) School Intervention Gra</v>
          </cell>
          <cell r="F619">
            <v>29299.8</v>
          </cell>
          <cell r="G619">
            <v>-29300</v>
          </cell>
          <cell r="H619">
            <v>-0.2000000000007276</v>
          </cell>
        </row>
        <row r="620">
          <cell r="B620">
            <v>26116</v>
          </cell>
          <cell r="C620" t="str">
            <v>SF 302(06) Flexible 14-19 Partners</v>
          </cell>
          <cell r="F620">
            <v>55300.94</v>
          </cell>
          <cell r="G620">
            <v>-55301</v>
          </cell>
          <cell r="H620">
            <v>-5.9999999997671694E-2</v>
          </cell>
        </row>
        <row r="621">
          <cell r="B621">
            <v>26118</v>
          </cell>
          <cell r="C621" t="str">
            <v>SK: SF 105B - School Meals</v>
          </cell>
          <cell r="F621">
            <v>175841.93</v>
          </cell>
          <cell r="G621">
            <v>-175841.93</v>
          </cell>
          <cell r="H621">
            <v>0</v>
          </cell>
        </row>
        <row r="622">
          <cell r="B622">
            <v>26122</v>
          </cell>
          <cell r="C622" t="str">
            <v>SF 115 (06) School Improvement Par</v>
          </cell>
          <cell r="F622">
            <v>24800</v>
          </cell>
          <cell r="G622">
            <v>-24800</v>
          </cell>
          <cell r="H622">
            <v>0</v>
          </cell>
        </row>
        <row r="623">
          <cell r="B623">
            <v>26130</v>
          </cell>
          <cell r="C623" t="str">
            <v>SF 116B - Music at Key Stage 2</v>
          </cell>
          <cell r="F623">
            <v>15920</v>
          </cell>
          <cell r="G623">
            <v>-15925</v>
          </cell>
          <cell r="H623">
            <v>-5</v>
          </cell>
        </row>
        <row r="624">
          <cell r="B624">
            <v>26132</v>
          </cell>
          <cell r="C624" t="str">
            <v>SF15 Extended Schools (Retained)</v>
          </cell>
          <cell r="F624">
            <v>26824.97</v>
          </cell>
          <cell r="G624">
            <v>-26824.97</v>
          </cell>
          <cell r="H624">
            <v>0</v>
          </cell>
        </row>
        <row r="625">
          <cell r="B625">
            <v>26134</v>
          </cell>
          <cell r="C625" t="str">
            <v>Sf19B Social Inc Pupil Sup Com</v>
          </cell>
          <cell r="F625">
            <v>99387.57</v>
          </cell>
          <cell r="G625">
            <v>-41891</v>
          </cell>
          <cell r="H625">
            <v>57496.570000000007</v>
          </cell>
        </row>
        <row r="626">
          <cell r="B626">
            <v>26136</v>
          </cell>
          <cell r="C626" t="str">
            <v>SF27B Music Expansion</v>
          </cell>
          <cell r="F626">
            <v>215621.59</v>
          </cell>
          <cell r="G626">
            <v>-209860.2</v>
          </cell>
          <cell r="H626">
            <v>5761.3899999999849</v>
          </cell>
        </row>
        <row r="627">
          <cell r="B627">
            <v>26140</v>
          </cell>
          <cell r="C627" t="str">
            <v>SF SEN Projects</v>
          </cell>
          <cell r="F627">
            <v>142934.44</v>
          </cell>
          <cell r="G627">
            <v>-142934.44</v>
          </cell>
          <cell r="H627">
            <v>0</v>
          </cell>
        </row>
        <row r="628">
          <cell r="B628">
            <v>26141</v>
          </cell>
          <cell r="C628" t="str">
            <v>Sf18A-Parent Partnership</v>
          </cell>
          <cell r="F628">
            <v>112582.7</v>
          </cell>
          <cell r="G628">
            <v>0</v>
          </cell>
          <cell r="H628">
            <v>112582.7</v>
          </cell>
        </row>
        <row r="629">
          <cell r="B629">
            <v>26142</v>
          </cell>
          <cell r="C629" t="str">
            <v>Sf18B-Incl&amp;Ebd-Looked After Ch</v>
          </cell>
          <cell r="F629">
            <v>62671.41</v>
          </cell>
          <cell r="G629">
            <v>-30722</v>
          </cell>
          <cell r="H629">
            <v>31949.410000000003</v>
          </cell>
        </row>
        <row r="630">
          <cell r="B630">
            <v>26143</v>
          </cell>
          <cell r="C630" t="str">
            <v>Sf18B-Incl&amp;Ebd-Behav Supp Teac</v>
          </cell>
          <cell r="F630">
            <v>205473.65</v>
          </cell>
          <cell r="G630">
            <v>-110649.42</v>
          </cell>
          <cell r="H630">
            <v>94824.23</v>
          </cell>
        </row>
        <row r="631">
          <cell r="B631">
            <v>26147</v>
          </cell>
          <cell r="C631" t="str">
            <v>SF Vulnerable Children Grants</v>
          </cell>
          <cell r="F631">
            <v>-13403</v>
          </cell>
          <cell r="G631">
            <v>-30126</v>
          </cell>
          <cell r="H631">
            <v>-43529</v>
          </cell>
        </row>
        <row r="632">
          <cell r="B632">
            <v>26148</v>
          </cell>
          <cell r="C632" t="str">
            <v>Sf Sen Speech &amp; Language Thery</v>
          </cell>
          <cell r="F632">
            <v>41017.21</v>
          </cell>
          <cell r="G632">
            <v>-41017.21</v>
          </cell>
          <cell r="H632">
            <v>0</v>
          </cell>
        </row>
        <row r="633">
          <cell r="B633">
            <v>26150</v>
          </cell>
          <cell r="C633" t="str">
            <v>Primary Revenue Devlvd Sf</v>
          </cell>
          <cell r="F633">
            <v>32479</v>
          </cell>
          <cell r="G633">
            <v>-8087720.9400000004</v>
          </cell>
          <cell r="H633">
            <v>-8055241.9400000004</v>
          </cell>
        </row>
        <row r="634">
          <cell r="B634">
            <v>26151</v>
          </cell>
          <cell r="C634" t="str">
            <v>Secondry Revenue Devlvd Sf</v>
          </cell>
          <cell r="F634">
            <v>-7839</v>
          </cell>
          <cell r="G634">
            <v>-11954308.119999999</v>
          </cell>
          <cell r="H634">
            <v>-11962147.119999999</v>
          </cell>
        </row>
        <row r="635">
          <cell r="B635">
            <v>26152</v>
          </cell>
          <cell r="C635" t="str">
            <v>Special Revenue Devlvd Sf</v>
          </cell>
          <cell r="F635">
            <v>0</v>
          </cell>
          <cell r="G635">
            <v>-575848</v>
          </cell>
          <cell r="H635">
            <v>-575848</v>
          </cell>
        </row>
        <row r="636">
          <cell r="B636">
            <v>26154</v>
          </cell>
          <cell r="C636" t="str">
            <v>Macmillan Revenue Devlvd Sf</v>
          </cell>
          <cell r="F636">
            <v>-146373.6</v>
          </cell>
          <cell r="G636">
            <v>-26796</v>
          </cell>
          <cell r="H636">
            <v>-173169.6</v>
          </cell>
        </row>
        <row r="637">
          <cell r="B637">
            <v>26167</v>
          </cell>
          <cell r="C637" t="str">
            <v>SF 23 - KS3 Strategy Central Coord</v>
          </cell>
          <cell r="F637">
            <v>307462.15000000002</v>
          </cell>
          <cell r="G637">
            <v>-120122.15</v>
          </cell>
          <cell r="H637">
            <v>187340.00000000003</v>
          </cell>
        </row>
        <row r="638">
          <cell r="B638">
            <v>26172</v>
          </cell>
          <cell r="C638" t="str">
            <v>SF 25 - Workforce Remodelling</v>
          </cell>
          <cell r="F638">
            <v>74431.83</v>
          </cell>
          <cell r="G638">
            <v>-74431.83</v>
          </cell>
          <cell r="H638">
            <v>0</v>
          </cell>
        </row>
        <row r="639">
          <cell r="B639">
            <v>26174</v>
          </cell>
          <cell r="C639" t="str">
            <v>SF 31b - ICT Broadband Activity</v>
          </cell>
          <cell r="F639">
            <v>247</v>
          </cell>
          <cell r="G639">
            <v>-107232.86</v>
          </cell>
          <cell r="H639">
            <v>-106985.86</v>
          </cell>
        </row>
        <row r="640">
          <cell r="B640">
            <v>26188</v>
          </cell>
          <cell r="C640" t="str">
            <v>SF317 Training for Ed Visits Co-or</v>
          </cell>
          <cell r="F640">
            <v>47</v>
          </cell>
          <cell r="G640">
            <v>0</v>
          </cell>
          <cell r="H640">
            <v>47</v>
          </cell>
        </row>
        <row r="641">
          <cell r="B641">
            <v>26190</v>
          </cell>
          <cell r="C641" t="str">
            <v>SF 4 Advanced Skills Teachers</v>
          </cell>
          <cell r="F641">
            <v>7932.04</v>
          </cell>
          <cell r="G641">
            <v>-4272.04</v>
          </cell>
          <cell r="H641">
            <v>3660</v>
          </cell>
        </row>
        <row r="642">
          <cell r="B642">
            <v>26194</v>
          </cell>
          <cell r="C642" t="str">
            <v>SF 42(04) London Chall Trans</v>
          </cell>
          <cell r="F642">
            <v>24082.09</v>
          </cell>
          <cell r="G642">
            <v>-24082</v>
          </cell>
          <cell r="H642">
            <v>9.0000000000145519E-2</v>
          </cell>
        </row>
        <row r="643">
          <cell r="B643">
            <v>26196</v>
          </cell>
          <cell r="C643" t="str">
            <v>SF24 Behav &amp; Attend</v>
          </cell>
          <cell r="F643">
            <v>42560</v>
          </cell>
          <cell r="G643">
            <v>-42570</v>
          </cell>
          <cell r="H643">
            <v>-10</v>
          </cell>
        </row>
        <row r="644">
          <cell r="B644">
            <v>26921</v>
          </cell>
          <cell r="C644" t="str">
            <v>Cent Fund-Barnhill Centre</v>
          </cell>
          <cell r="F644">
            <v>78.3</v>
          </cell>
          <cell r="G644">
            <v>0</v>
          </cell>
          <cell r="H644">
            <v>78.3</v>
          </cell>
        </row>
        <row r="645">
          <cell r="B645">
            <v>29708</v>
          </cell>
          <cell r="C645" t="str">
            <v>School Library Servce - Primary</v>
          </cell>
          <cell r="F645">
            <v>160604.97</v>
          </cell>
          <cell r="G645">
            <v>0</v>
          </cell>
          <cell r="H645">
            <v>160604.97</v>
          </cell>
        </row>
        <row r="646">
          <cell r="B646">
            <v>50100</v>
          </cell>
          <cell r="C646" t="str">
            <v>Emergency Planning</v>
          </cell>
          <cell r="F646">
            <v>256914.5</v>
          </cell>
          <cell r="G646">
            <v>-2463.7800000000002</v>
          </cell>
          <cell r="H646">
            <v>254450.72</v>
          </cell>
        </row>
        <row r="647">
          <cell r="B647">
            <v>50102</v>
          </cell>
          <cell r="C647" t="str">
            <v>Trout Road Fire</v>
          </cell>
          <cell r="F647">
            <v>8784.11</v>
          </cell>
          <cell r="G647">
            <v>0</v>
          </cell>
          <cell r="H647">
            <v>8784.11</v>
          </cell>
        </row>
        <row r="648">
          <cell r="B648">
            <v>50200</v>
          </cell>
          <cell r="C648" t="str">
            <v>Land Charges</v>
          </cell>
          <cell r="F648">
            <v>271686.83</v>
          </cell>
          <cell r="G648">
            <v>-927303.78</v>
          </cell>
          <cell r="H648">
            <v>-655616.94999999995</v>
          </cell>
        </row>
        <row r="649">
          <cell r="B649">
            <v>51000</v>
          </cell>
          <cell r="C649" t="str">
            <v>Cavendish Pavillion</v>
          </cell>
          <cell r="F649">
            <v>1202.97</v>
          </cell>
          <cell r="G649">
            <v>-20002.5</v>
          </cell>
          <cell r="H649">
            <v>-18799.53</v>
          </cell>
        </row>
        <row r="650">
          <cell r="B650">
            <v>51001</v>
          </cell>
          <cell r="C650" t="str">
            <v>Haydon Hall</v>
          </cell>
          <cell r="F650">
            <v>17115.310000000001</v>
          </cell>
          <cell r="G650">
            <v>-24000</v>
          </cell>
          <cell r="H650">
            <v>-6884.6899999999987</v>
          </cell>
        </row>
        <row r="651">
          <cell r="B651">
            <v>51002</v>
          </cell>
          <cell r="C651" t="str">
            <v>Grange</v>
          </cell>
          <cell r="F651">
            <v>3563</v>
          </cell>
          <cell r="G651">
            <v>-23394.6</v>
          </cell>
          <cell r="H651">
            <v>-19831.599999999999</v>
          </cell>
        </row>
        <row r="652">
          <cell r="B652">
            <v>51003</v>
          </cell>
          <cell r="C652" t="str">
            <v>Hayes Civic Hall</v>
          </cell>
          <cell r="F652">
            <v>83</v>
          </cell>
          <cell r="G652">
            <v>-6281.91</v>
          </cell>
          <cell r="H652">
            <v>-6198.91</v>
          </cell>
        </row>
        <row r="653">
          <cell r="B653">
            <v>51006</v>
          </cell>
          <cell r="C653" t="str">
            <v>Dene Park Hall</v>
          </cell>
          <cell r="F653">
            <v>495.41</v>
          </cell>
          <cell r="G653">
            <v>0</v>
          </cell>
          <cell r="H653">
            <v>495.41</v>
          </cell>
        </row>
        <row r="654">
          <cell r="B654">
            <v>51050</v>
          </cell>
          <cell r="C654" t="str">
            <v>Ruislip Lido</v>
          </cell>
          <cell r="F654">
            <v>72291.009999999995</v>
          </cell>
          <cell r="G654">
            <v>-63701.05</v>
          </cell>
          <cell r="H654">
            <v>8589.9599999999919</v>
          </cell>
        </row>
        <row r="655">
          <cell r="B655">
            <v>51051</v>
          </cell>
          <cell r="C655" t="str">
            <v>Kings College Pavillion</v>
          </cell>
          <cell r="F655">
            <v>199</v>
          </cell>
          <cell r="G655">
            <v>-115</v>
          </cell>
          <cell r="H655">
            <v>84</v>
          </cell>
        </row>
        <row r="656">
          <cell r="B656">
            <v>51052</v>
          </cell>
          <cell r="C656" t="str">
            <v>Cowley Recreation Ground</v>
          </cell>
          <cell r="F656">
            <v>650.45000000000005</v>
          </cell>
          <cell r="G656">
            <v>0</v>
          </cell>
          <cell r="H656">
            <v>650.45000000000005</v>
          </cell>
        </row>
        <row r="657">
          <cell r="B657">
            <v>51053</v>
          </cell>
          <cell r="C657" t="str">
            <v>Southlands</v>
          </cell>
          <cell r="F657">
            <v>1918</v>
          </cell>
          <cell r="G657">
            <v>-50</v>
          </cell>
          <cell r="H657">
            <v>1868</v>
          </cell>
        </row>
        <row r="658">
          <cell r="B658">
            <v>51054</v>
          </cell>
          <cell r="C658" t="str">
            <v>Botwell Bowls Pavilion</v>
          </cell>
          <cell r="F658">
            <v>1526.64</v>
          </cell>
          <cell r="G658">
            <v>0</v>
          </cell>
          <cell r="H658">
            <v>1526.64</v>
          </cell>
        </row>
        <row r="659">
          <cell r="B659">
            <v>51055</v>
          </cell>
          <cell r="C659" t="str">
            <v>Eastcote Cricket Ground</v>
          </cell>
          <cell r="F659">
            <v>243</v>
          </cell>
          <cell r="G659">
            <v>0</v>
          </cell>
          <cell r="H659">
            <v>243</v>
          </cell>
        </row>
        <row r="660">
          <cell r="B660">
            <v>51100</v>
          </cell>
          <cell r="C660" t="str">
            <v>Park Patrol Service</v>
          </cell>
          <cell r="F660">
            <v>574992.42000000004</v>
          </cell>
          <cell r="G660">
            <v>290.29000000000002</v>
          </cell>
          <cell r="H660">
            <v>575282.71000000008</v>
          </cell>
        </row>
        <row r="661">
          <cell r="B661">
            <v>51101</v>
          </cell>
          <cell r="C661" t="str">
            <v>Playgrounds</v>
          </cell>
          <cell r="F661">
            <v>179092.66</v>
          </cell>
          <cell r="G661">
            <v>0</v>
          </cell>
          <cell r="H661">
            <v>179092.66</v>
          </cell>
        </row>
        <row r="662">
          <cell r="B662">
            <v>51102</v>
          </cell>
          <cell r="C662" t="str">
            <v>Barra Hall Park</v>
          </cell>
          <cell r="F662">
            <v>1261.0999999999999</v>
          </cell>
          <cell r="G662">
            <v>0</v>
          </cell>
          <cell r="H662">
            <v>1261.0999999999999</v>
          </cell>
        </row>
        <row r="663">
          <cell r="B663">
            <v>51103</v>
          </cell>
          <cell r="C663" t="str">
            <v>Fassnidge Park Bowls</v>
          </cell>
          <cell r="F663">
            <v>29219.71</v>
          </cell>
          <cell r="G663">
            <v>0</v>
          </cell>
          <cell r="H663">
            <v>29219.71</v>
          </cell>
        </row>
        <row r="664">
          <cell r="B664">
            <v>51104</v>
          </cell>
          <cell r="C664" t="str">
            <v>Bessingby Park Pavilion</v>
          </cell>
          <cell r="F664">
            <v>7454.69</v>
          </cell>
          <cell r="G664">
            <v>0</v>
          </cell>
          <cell r="H664">
            <v>7454.69</v>
          </cell>
        </row>
        <row r="665">
          <cell r="B665">
            <v>51105</v>
          </cell>
          <cell r="C665" t="str">
            <v>Fassnidge Park Mess Room</v>
          </cell>
          <cell r="F665">
            <v>1377.91</v>
          </cell>
          <cell r="G665">
            <v>-6732</v>
          </cell>
          <cell r="H665">
            <v>-5354.09</v>
          </cell>
        </row>
        <row r="666">
          <cell r="B666">
            <v>51106</v>
          </cell>
          <cell r="C666" t="str">
            <v>Sidmouth P.F</v>
          </cell>
          <cell r="F666">
            <v>5265.78</v>
          </cell>
          <cell r="G666">
            <v>0</v>
          </cell>
          <cell r="H666">
            <v>5265.78</v>
          </cell>
        </row>
        <row r="667">
          <cell r="B667">
            <v>51107</v>
          </cell>
          <cell r="C667" t="str">
            <v>P &amp; O Spaces Grds Mtce G1h</v>
          </cell>
          <cell r="F667">
            <v>469007.82</v>
          </cell>
          <cell r="G667">
            <v>0</v>
          </cell>
          <cell r="H667">
            <v>469007.82</v>
          </cell>
        </row>
        <row r="668">
          <cell r="B668">
            <v>51108</v>
          </cell>
          <cell r="C668" t="str">
            <v>Bayhurst Wood Country Park</v>
          </cell>
          <cell r="F668">
            <v>391.16</v>
          </cell>
          <cell r="G668">
            <v>0</v>
          </cell>
          <cell r="H668">
            <v>391.16</v>
          </cell>
        </row>
        <row r="669">
          <cell r="B669">
            <v>51109</v>
          </cell>
          <cell r="C669" t="str">
            <v>Taylors Meadow</v>
          </cell>
          <cell r="F669">
            <v>3801.31</v>
          </cell>
          <cell r="G669">
            <v>0</v>
          </cell>
          <cell r="H669">
            <v>3801.31</v>
          </cell>
        </row>
        <row r="670">
          <cell r="B670">
            <v>51110</v>
          </cell>
          <cell r="C670" t="str">
            <v>Willow Tree Maintenance Base</v>
          </cell>
          <cell r="F670">
            <v>1334.22</v>
          </cell>
          <cell r="G670">
            <v>0</v>
          </cell>
          <cell r="H670">
            <v>1334.22</v>
          </cell>
        </row>
        <row r="671">
          <cell r="B671">
            <v>51112</v>
          </cell>
          <cell r="C671" t="str">
            <v>P &amp; O Spaces Grds Mtce G3r</v>
          </cell>
          <cell r="F671">
            <v>351967.49</v>
          </cell>
          <cell r="G671">
            <v>0</v>
          </cell>
          <cell r="H671">
            <v>351967.49</v>
          </cell>
        </row>
        <row r="672">
          <cell r="B672">
            <v>51114</v>
          </cell>
          <cell r="C672" t="str">
            <v>Botwell Recreation Ground</v>
          </cell>
          <cell r="F672">
            <v>1274.04</v>
          </cell>
          <cell r="G672">
            <v>0</v>
          </cell>
          <cell r="H672">
            <v>1274.04</v>
          </cell>
        </row>
        <row r="673">
          <cell r="B673">
            <v>51117</v>
          </cell>
          <cell r="C673" t="str">
            <v>Hillingdon In Bloom</v>
          </cell>
          <cell r="F673">
            <v>6176.86</v>
          </cell>
          <cell r="G673">
            <v>-3500</v>
          </cell>
          <cell r="H673">
            <v>2676.8599999999997</v>
          </cell>
        </row>
        <row r="674">
          <cell r="B674">
            <v>51119</v>
          </cell>
          <cell r="C674" t="str">
            <v>Manor Farm Bowls</v>
          </cell>
          <cell r="F674">
            <v>2594.5500000000002</v>
          </cell>
          <cell r="G674">
            <v>0</v>
          </cell>
          <cell r="H674">
            <v>2594.5500000000002</v>
          </cell>
        </row>
        <row r="675">
          <cell r="B675">
            <v>51120</v>
          </cell>
          <cell r="C675" t="str">
            <v>Parks Facilities</v>
          </cell>
          <cell r="F675">
            <v>3516.5</v>
          </cell>
          <cell r="G675">
            <v>0</v>
          </cell>
          <cell r="H675">
            <v>3516.5</v>
          </cell>
        </row>
        <row r="676">
          <cell r="B676">
            <v>51126</v>
          </cell>
          <cell r="C676" t="str">
            <v>Cavendish Recreation Groundund</v>
          </cell>
          <cell r="F676">
            <v>6410.1</v>
          </cell>
          <cell r="G676">
            <v>0</v>
          </cell>
          <cell r="H676">
            <v>6410.1</v>
          </cell>
        </row>
        <row r="677">
          <cell r="B677">
            <v>51127</v>
          </cell>
          <cell r="C677" t="str">
            <v>Churchfield Gardens</v>
          </cell>
          <cell r="F677">
            <v>1486.98</v>
          </cell>
          <cell r="G677">
            <v>0</v>
          </cell>
          <cell r="H677">
            <v>1486.98</v>
          </cell>
        </row>
        <row r="678">
          <cell r="B678">
            <v>51129</v>
          </cell>
          <cell r="C678" t="str">
            <v>Coney Green</v>
          </cell>
          <cell r="F678">
            <v>3118.17</v>
          </cell>
          <cell r="G678">
            <v>0</v>
          </cell>
          <cell r="H678">
            <v>3118.17</v>
          </cell>
        </row>
        <row r="679">
          <cell r="B679">
            <v>51130</v>
          </cell>
          <cell r="C679" t="str">
            <v>Connaught Recreation Ground</v>
          </cell>
          <cell r="F679">
            <v>680</v>
          </cell>
          <cell r="G679">
            <v>0</v>
          </cell>
          <cell r="H679">
            <v>680</v>
          </cell>
        </row>
        <row r="680">
          <cell r="B680">
            <v>51134</v>
          </cell>
          <cell r="C680" t="str">
            <v>Drayton Hall</v>
          </cell>
          <cell r="F680">
            <v>12965.16</v>
          </cell>
          <cell r="G680">
            <v>-3241.26</v>
          </cell>
          <cell r="H680">
            <v>9723.9</v>
          </cell>
        </row>
        <row r="681">
          <cell r="B681">
            <v>51137</v>
          </cell>
          <cell r="C681" t="str">
            <v>Eastcote House Grounds</v>
          </cell>
          <cell r="F681">
            <v>185.73</v>
          </cell>
          <cell r="G681">
            <v>0</v>
          </cell>
          <cell r="H681">
            <v>185.73</v>
          </cell>
        </row>
        <row r="682">
          <cell r="B682">
            <v>51139</v>
          </cell>
          <cell r="C682" t="str">
            <v>P &amp; O Spaces Grds Mtce G2u</v>
          </cell>
          <cell r="F682">
            <v>264925.74</v>
          </cell>
          <cell r="G682">
            <v>0</v>
          </cell>
          <cell r="H682">
            <v>264925.74</v>
          </cell>
        </row>
        <row r="683">
          <cell r="B683">
            <v>51140</v>
          </cell>
          <cell r="C683" t="str">
            <v>Field End Recreation Ground</v>
          </cell>
          <cell r="F683">
            <v>403.75</v>
          </cell>
          <cell r="G683">
            <v>0</v>
          </cell>
          <cell r="H683">
            <v>403.75</v>
          </cell>
        </row>
        <row r="684">
          <cell r="B684">
            <v>51142</v>
          </cell>
          <cell r="C684" t="str">
            <v>Grange Park</v>
          </cell>
          <cell r="F684">
            <v>3717</v>
          </cell>
          <cell r="G684">
            <v>0</v>
          </cell>
          <cell r="H684">
            <v>3717</v>
          </cell>
        </row>
        <row r="685">
          <cell r="B685">
            <v>51147</v>
          </cell>
          <cell r="C685" t="str">
            <v>Barra Hall Pk Bldgs</v>
          </cell>
          <cell r="F685">
            <v>191.45</v>
          </cell>
          <cell r="G685">
            <v>0</v>
          </cell>
          <cell r="H685">
            <v>191.45</v>
          </cell>
        </row>
        <row r="686">
          <cell r="B686">
            <v>51148</v>
          </cell>
          <cell r="C686" t="str">
            <v>Hayes Cricket Pavilion</v>
          </cell>
          <cell r="F686">
            <v>216</v>
          </cell>
          <cell r="G686">
            <v>0</v>
          </cell>
          <cell r="H686">
            <v>216</v>
          </cell>
        </row>
        <row r="687">
          <cell r="B687">
            <v>51149</v>
          </cell>
          <cell r="C687" t="str">
            <v>Pinkwell Pk Pav</v>
          </cell>
          <cell r="F687">
            <v>3997.6</v>
          </cell>
          <cell r="G687">
            <v>0</v>
          </cell>
          <cell r="H687">
            <v>3997.6</v>
          </cell>
        </row>
        <row r="688">
          <cell r="B688">
            <v>51150</v>
          </cell>
          <cell r="C688" t="str">
            <v>Swakeleys Lake</v>
          </cell>
          <cell r="F688">
            <v>1448.84</v>
          </cell>
          <cell r="G688">
            <v>0</v>
          </cell>
          <cell r="H688">
            <v>1448.84</v>
          </cell>
        </row>
        <row r="689">
          <cell r="B689">
            <v>51152</v>
          </cell>
          <cell r="C689" t="str">
            <v>Hillingdon House Farm</v>
          </cell>
          <cell r="F689">
            <v>467</v>
          </cell>
          <cell r="G689">
            <v>0</v>
          </cell>
          <cell r="H689">
            <v>467</v>
          </cell>
        </row>
        <row r="690">
          <cell r="B690">
            <v>51154</v>
          </cell>
          <cell r="C690" t="str">
            <v>Harmondsworth Rec Ground</v>
          </cell>
          <cell r="F690">
            <v>110.6</v>
          </cell>
          <cell r="G690">
            <v>0</v>
          </cell>
          <cell r="H690">
            <v>110.6</v>
          </cell>
        </row>
        <row r="691">
          <cell r="B691">
            <v>51156</v>
          </cell>
          <cell r="C691" t="str">
            <v>Hayes End Recreation Ground</v>
          </cell>
          <cell r="F691">
            <v>79.45</v>
          </cell>
          <cell r="G691">
            <v>0</v>
          </cell>
          <cell r="H691">
            <v>79.45</v>
          </cell>
        </row>
        <row r="692">
          <cell r="B692">
            <v>51157</v>
          </cell>
          <cell r="C692" t="str">
            <v>Hillingdon Court Park</v>
          </cell>
          <cell r="F692">
            <v>360.39</v>
          </cell>
          <cell r="G692">
            <v>0</v>
          </cell>
          <cell r="H692">
            <v>360.39</v>
          </cell>
        </row>
        <row r="693">
          <cell r="B693">
            <v>51158</v>
          </cell>
          <cell r="C693" t="str">
            <v>Lombardy Park</v>
          </cell>
          <cell r="F693">
            <v>3265</v>
          </cell>
          <cell r="G693">
            <v>0</v>
          </cell>
          <cell r="H693">
            <v>3265</v>
          </cell>
        </row>
        <row r="694">
          <cell r="B694">
            <v>51160</v>
          </cell>
          <cell r="C694" t="str">
            <v>Kings College Playing Field</v>
          </cell>
          <cell r="F694">
            <v>97.27</v>
          </cell>
          <cell r="G694">
            <v>0</v>
          </cell>
          <cell r="H694">
            <v>97.27</v>
          </cell>
        </row>
        <row r="695">
          <cell r="B695">
            <v>51161</v>
          </cell>
          <cell r="C695" t="str">
            <v>Kingston Lane Playing Fields</v>
          </cell>
          <cell r="F695">
            <v>487.33</v>
          </cell>
          <cell r="G695">
            <v>0</v>
          </cell>
          <cell r="H695">
            <v>487.33</v>
          </cell>
        </row>
        <row r="696">
          <cell r="B696">
            <v>51164</v>
          </cell>
          <cell r="C696" t="str">
            <v>Little Harlington Field</v>
          </cell>
          <cell r="F696">
            <v>6012.05</v>
          </cell>
          <cell r="G696">
            <v>0</v>
          </cell>
          <cell r="H696">
            <v>6012.05</v>
          </cell>
        </row>
        <row r="697">
          <cell r="B697">
            <v>51171</v>
          </cell>
          <cell r="C697" t="str">
            <v>New Pond Playing Fields</v>
          </cell>
          <cell r="F697">
            <v>645.13</v>
          </cell>
          <cell r="G697">
            <v>0</v>
          </cell>
          <cell r="H697">
            <v>645.13</v>
          </cell>
        </row>
        <row r="698">
          <cell r="B698">
            <v>51173</v>
          </cell>
          <cell r="C698" t="str">
            <v>Northwood Recreation Ground</v>
          </cell>
          <cell r="F698">
            <v>5708.54</v>
          </cell>
          <cell r="G698">
            <v>0</v>
          </cell>
          <cell r="H698">
            <v>5708.54</v>
          </cell>
        </row>
        <row r="699">
          <cell r="B699">
            <v>51174</v>
          </cell>
          <cell r="C699" t="str">
            <v>Parkfield Crescent</v>
          </cell>
          <cell r="F699">
            <v>15.42</v>
          </cell>
          <cell r="G699">
            <v>0</v>
          </cell>
          <cell r="H699">
            <v>15.42</v>
          </cell>
        </row>
        <row r="700">
          <cell r="B700">
            <v>51177</v>
          </cell>
          <cell r="C700" t="str">
            <v>Pine Gardens</v>
          </cell>
          <cell r="F700">
            <v>7.8</v>
          </cell>
          <cell r="G700">
            <v>0</v>
          </cell>
          <cell r="H700">
            <v>7.8</v>
          </cell>
        </row>
        <row r="701">
          <cell r="B701">
            <v>51179</v>
          </cell>
          <cell r="C701" t="str">
            <v>Pole Hill Open Space</v>
          </cell>
          <cell r="F701">
            <v>1992.99</v>
          </cell>
          <cell r="G701">
            <v>0</v>
          </cell>
          <cell r="H701">
            <v>1992.99</v>
          </cell>
        </row>
        <row r="702">
          <cell r="B702">
            <v>51182</v>
          </cell>
          <cell r="C702" t="str">
            <v>Rockingham Recreation Ground</v>
          </cell>
          <cell r="F702">
            <v>1729.49</v>
          </cell>
          <cell r="G702">
            <v>-4589.17</v>
          </cell>
          <cell r="H702">
            <v>-2859.6800000000003</v>
          </cell>
        </row>
        <row r="703">
          <cell r="B703">
            <v>51183</v>
          </cell>
          <cell r="C703" t="str">
            <v>Rosedale Park</v>
          </cell>
          <cell r="F703">
            <v>6261.46</v>
          </cell>
          <cell r="G703">
            <v>0</v>
          </cell>
          <cell r="H703">
            <v>6261.46</v>
          </cell>
        </row>
        <row r="704">
          <cell r="B704">
            <v>51189</v>
          </cell>
          <cell r="C704" t="str">
            <v>Stockley Recreation Ground</v>
          </cell>
          <cell r="F704">
            <v>340</v>
          </cell>
          <cell r="G704">
            <v>0</v>
          </cell>
          <cell r="H704">
            <v>340</v>
          </cell>
        </row>
        <row r="705">
          <cell r="B705">
            <v>51190</v>
          </cell>
          <cell r="C705" t="str">
            <v>Stonefield Park</v>
          </cell>
          <cell r="F705">
            <v>90</v>
          </cell>
          <cell r="G705">
            <v>0</v>
          </cell>
          <cell r="H705">
            <v>90</v>
          </cell>
        </row>
        <row r="706">
          <cell r="B706">
            <v>51192</v>
          </cell>
          <cell r="C706" t="str">
            <v>Housing Playgrounds Recharge</v>
          </cell>
          <cell r="F706">
            <v>41474.589999999997</v>
          </cell>
          <cell r="G706">
            <v>-50324.94</v>
          </cell>
          <cell r="H706">
            <v>-8850.3500000000058</v>
          </cell>
        </row>
        <row r="707">
          <cell r="B707">
            <v>51196</v>
          </cell>
          <cell r="C707" t="str">
            <v>The Green Harefield</v>
          </cell>
          <cell r="F707">
            <v>105.94</v>
          </cell>
          <cell r="G707">
            <v>0</v>
          </cell>
          <cell r="H707">
            <v>105.94</v>
          </cell>
        </row>
        <row r="708">
          <cell r="B708">
            <v>51197</v>
          </cell>
          <cell r="C708" t="str">
            <v>Uxbridge Common</v>
          </cell>
          <cell r="F708">
            <v>280</v>
          </cell>
          <cell r="G708">
            <v>0</v>
          </cell>
          <cell r="H708">
            <v>280</v>
          </cell>
        </row>
        <row r="709">
          <cell r="B709">
            <v>51198</v>
          </cell>
          <cell r="C709" t="str">
            <v>Warrender Park</v>
          </cell>
          <cell r="F709">
            <v>24875</v>
          </cell>
          <cell r="G709">
            <v>0</v>
          </cell>
          <cell r="H709">
            <v>24875</v>
          </cell>
        </row>
        <row r="710">
          <cell r="B710">
            <v>51200</v>
          </cell>
          <cell r="C710" t="str">
            <v>Yiewsley Recreation Ground</v>
          </cell>
          <cell r="F710">
            <v>610.12</v>
          </cell>
          <cell r="G710">
            <v>0</v>
          </cell>
          <cell r="H710">
            <v>610.12</v>
          </cell>
        </row>
        <row r="711">
          <cell r="B711">
            <v>51203</v>
          </cell>
          <cell r="C711" t="str">
            <v>Pitches Lettings</v>
          </cell>
          <cell r="F711">
            <v>-31911</v>
          </cell>
          <cell r="G711">
            <v>470</v>
          </cell>
          <cell r="H711">
            <v>-31441</v>
          </cell>
        </row>
        <row r="712">
          <cell r="B712">
            <v>51204</v>
          </cell>
          <cell r="C712" t="str">
            <v>Norman Leddy Memorial Gardens</v>
          </cell>
          <cell r="F712">
            <v>10.75</v>
          </cell>
          <cell r="G712">
            <v>0</v>
          </cell>
          <cell r="H712">
            <v>10.75</v>
          </cell>
        </row>
        <row r="713">
          <cell r="B713">
            <v>51205</v>
          </cell>
          <cell r="C713" t="str">
            <v>Events</v>
          </cell>
          <cell r="F713">
            <v>39437.300000000003</v>
          </cell>
          <cell r="G713">
            <v>-36268.5</v>
          </cell>
          <cell r="H713">
            <v>3168.8000000000029</v>
          </cell>
        </row>
        <row r="714">
          <cell r="B714">
            <v>51206</v>
          </cell>
          <cell r="C714" t="str">
            <v>Lake Farm</v>
          </cell>
          <cell r="F714">
            <v>11187.2</v>
          </cell>
          <cell r="G714">
            <v>0</v>
          </cell>
          <cell r="H714">
            <v>11187.2</v>
          </cell>
        </row>
        <row r="715">
          <cell r="B715">
            <v>51207</v>
          </cell>
          <cell r="C715" t="str">
            <v>POS Buildings Maintenance</v>
          </cell>
          <cell r="F715">
            <v>7232.4</v>
          </cell>
          <cell r="G715">
            <v>0</v>
          </cell>
          <cell r="H715">
            <v>7232.4</v>
          </cell>
        </row>
        <row r="716">
          <cell r="B716">
            <v>51208</v>
          </cell>
          <cell r="C716" t="str">
            <v>parks utilities</v>
          </cell>
          <cell r="F716">
            <v>66629.960000000006</v>
          </cell>
          <cell r="G716">
            <v>0</v>
          </cell>
          <cell r="H716">
            <v>66629.960000000006</v>
          </cell>
        </row>
        <row r="717">
          <cell r="B717">
            <v>51209</v>
          </cell>
          <cell r="C717" t="str">
            <v>Parks Patrol mobile Park Keepers</v>
          </cell>
          <cell r="F717">
            <v>117055.61</v>
          </cell>
          <cell r="G717">
            <v>0</v>
          </cell>
          <cell r="H717">
            <v>117055.61</v>
          </cell>
        </row>
        <row r="718">
          <cell r="B718">
            <v>51210</v>
          </cell>
          <cell r="C718" t="str">
            <v>Parks Patrol Static Park Keepers</v>
          </cell>
          <cell r="F718">
            <v>69861.149999999994</v>
          </cell>
          <cell r="G718">
            <v>0</v>
          </cell>
          <cell r="H718">
            <v>69861.149999999994</v>
          </cell>
        </row>
        <row r="719">
          <cell r="B719">
            <v>51240</v>
          </cell>
          <cell r="C719" t="str">
            <v>Cranford Park Joint Committee</v>
          </cell>
          <cell r="F719">
            <v>-16643.29</v>
          </cell>
          <cell r="G719">
            <v>0</v>
          </cell>
          <cell r="H719">
            <v>-16643.29</v>
          </cell>
        </row>
        <row r="720">
          <cell r="B720">
            <v>51241</v>
          </cell>
          <cell r="C720" t="str">
            <v>Countryside and Conservation Manag</v>
          </cell>
          <cell r="F720">
            <v>163088.94</v>
          </cell>
          <cell r="G720">
            <v>-1265.68</v>
          </cell>
          <cell r="H720">
            <v>161823.26</v>
          </cell>
        </row>
        <row r="721">
          <cell r="B721">
            <v>51242</v>
          </cell>
          <cell r="C721" t="str">
            <v>Borough Woodlands</v>
          </cell>
          <cell r="F721">
            <v>176757.74</v>
          </cell>
          <cell r="G721">
            <v>-9919</v>
          </cell>
          <cell r="H721">
            <v>166838.74</v>
          </cell>
        </row>
        <row r="722">
          <cell r="B722">
            <v>51244</v>
          </cell>
          <cell r="C722" t="str">
            <v>Tree Work-Greenbelt Estate</v>
          </cell>
          <cell r="F722">
            <v>2525</v>
          </cell>
          <cell r="G722">
            <v>0</v>
          </cell>
          <cell r="H722">
            <v>2525</v>
          </cell>
        </row>
        <row r="723">
          <cell r="B723">
            <v>51245</v>
          </cell>
          <cell r="C723" t="str">
            <v>Lee Valley Regional Park</v>
          </cell>
          <cell r="F723">
            <v>284082.48</v>
          </cell>
          <cell r="G723">
            <v>0</v>
          </cell>
          <cell r="H723">
            <v>284082.48</v>
          </cell>
        </row>
        <row r="724">
          <cell r="B724">
            <v>51246</v>
          </cell>
          <cell r="C724" t="str">
            <v>Minet Country Park</v>
          </cell>
          <cell r="F724">
            <v>61480.03</v>
          </cell>
          <cell r="G724">
            <v>-60467.03</v>
          </cell>
          <cell r="H724">
            <v>1013</v>
          </cell>
        </row>
        <row r="725">
          <cell r="B725">
            <v>51248</v>
          </cell>
          <cell r="C725" t="str">
            <v>Crop</v>
          </cell>
          <cell r="F725">
            <v>2143.9299999999998</v>
          </cell>
          <cell r="G725">
            <v>-2068.5700000000002</v>
          </cell>
          <cell r="H725">
            <v>75.359999999999673</v>
          </cell>
        </row>
        <row r="726">
          <cell r="B726">
            <v>51249</v>
          </cell>
          <cell r="C726" t="str">
            <v>Country Parks</v>
          </cell>
          <cell r="F726">
            <v>131112.66</v>
          </cell>
          <cell r="G726">
            <v>0</v>
          </cell>
          <cell r="H726">
            <v>131112.66</v>
          </cell>
        </row>
        <row r="727">
          <cell r="B727">
            <v>51270</v>
          </cell>
          <cell r="C727" t="str">
            <v>Allotments</v>
          </cell>
          <cell r="F727">
            <v>28880.799999999999</v>
          </cell>
          <cell r="G727">
            <v>-11031.52</v>
          </cell>
          <cell r="H727">
            <v>17849.28</v>
          </cell>
        </row>
        <row r="728">
          <cell r="B728">
            <v>51290</v>
          </cell>
          <cell r="C728" t="str">
            <v>P &amp; O Spaces Management</v>
          </cell>
          <cell r="F728">
            <v>264515.21000000002</v>
          </cell>
          <cell r="G728">
            <v>-233069.58</v>
          </cell>
          <cell r="H728">
            <v>31445.630000000034</v>
          </cell>
        </row>
        <row r="729">
          <cell r="B729">
            <v>51291</v>
          </cell>
          <cell r="C729" t="str">
            <v>Green Spaces Admin Team</v>
          </cell>
          <cell r="F729">
            <v>237017.98</v>
          </cell>
          <cell r="G729">
            <v>0</v>
          </cell>
          <cell r="H729">
            <v>237017.98</v>
          </cell>
        </row>
        <row r="730">
          <cell r="B730">
            <v>51400</v>
          </cell>
          <cell r="C730" t="str">
            <v>Cemeteries - General</v>
          </cell>
          <cell r="F730">
            <v>228870.26</v>
          </cell>
          <cell r="G730">
            <v>-361395.38</v>
          </cell>
          <cell r="H730">
            <v>-132525.12</v>
          </cell>
        </row>
        <row r="731">
          <cell r="B731">
            <v>51401</v>
          </cell>
          <cell r="C731" t="str">
            <v>Cherry Lane</v>
          </cell>
          <cell r="F731">
            <v>97426.42</v>
          </cell>
          <cell r="G731">
            <v>0</v>
          </cell>
          <cell r="H731">
            <v>97426.42</v>
          </cell>
        </row>
        <row r="732">
          <cell r="B732">
            <v>51402</v>
          </cell>
          <cell r="C732" t="str">
            <v>Harlington Cemetery</v>
          </cell>
          <cell r="F732">
            <v>1708.3</v>
          </cell>
          <cell r="G732">
            <v>0</v>
          </cell>
          <cell r="H732">
            <v>1708.3</v>
          </cell>
        </row>
        <row r="733">
          <cell r="B733">
            <v>51403</v>
          </cell>
          <cell r="C733" t="str">
            <v>Harmondsworth Cemetery</v>
          </cell>
          <cell r="F733">
            <v>2978.03</v>
          </cell>
          <cell r="G733">
            <v>-1465</v>
          </cell>
          <cell r="H733">
            <v>1513.0300000000002</v>
          </cell>
        </row>
        <row r="734">
          <cell r="B734">
            <v>51404</v>
          </cell>
          <cell r="C734" t="str">
            <v>Hillingdon / Uxbridge Cemetery</v>
          </cell>
          <cell r="F734">
            <v>45712.4</v>
          </cell>
          <cell r="G734">
            <v>0</v>
          </cell>
          <cell r="H734">
            <v>45712.4</v>
          </cell>
        </row>
        <row r="735">
          <cell r="B735">
            <v>51405</v>
          </cell>
          <cell r="C735" t="str">
            <v>Northwood Cemetery</v>
          </cell>
          <cell r="F735">
            <v>48284.91</v>
          </cell>
          <cell r="G735">
            <v>0</v>
          </cell>
          <cell r="H735">
            <v>48284.91</v>
          </cell>
        </row>
        <row r="736">
          <cell r="B736">
            <v>51406</v>
          </cell>
          <cell r="C736" t="str">
            <v>Victoria Lane Cemetery</v>
          </cell>
          <cell r="F736">
            <v>912.55</v>
          </cell>
          <cell r="G736">
            <v>0</v>
          </cell>
          <cell r="H736">
            <v>912.55</v>
          </cell>
        </row>
        <row r="737">
          <cell r="B737">
            <v>51407</v>
          </cell>
          <cell r="C737" t="str">
            <v>West Drayton Cemetery</v>
          </cell>
          <cell r="F737">
            <v>25552.35</v>
          </cell>
          <cell r="G737">
            <v>0</v>
          </cell>
          <cell r="H737">
            <v>25552.35</v>
          </cell>
        </row>
        <row r="738">
          <cell r="B738">
            <v>51409</v>
          </cell>
          <cell r="C738" t="str">
            <v>War Memorials</v>
          </cell>
          <cell r="F738">
            <v>14940.49</v>
          </cell>
          <cell r="G738">
            <v>0</v>
          </cell>
          <cell r="H738">
            <v>14940.49</v>
          </cell>
        </row>
        <row r="739">
          <cell r="B739">
            <v>51410</v>
          </cell>
          <cell r="C739" t="str">
            <v>St Mary's Churchyard Hayes</v>
          </cell>
          <cell r="F739">
            <v>1990</v>
          </cell>
          <cell r="G739">
            <v>0</v>
          </cell>
          <cell r="H739">
            <v>1990</v>
          </cell>
        </row>
        <row r="740">
          <cell r="B740">
            <v>51450</v>
          </cell>
          <cell r="C740" t="str">
            <v>Breakspear Crematorium</v>
          </cell>
          <cell r="F740">
            <v>1402841.37</v>
          </cell>
          <cell r="G740">
            <v>-1431367.67</v>
          </cell>
          <cell r="H740">
            <v>-28526.299999999814</v>
          </cell>
        </row>
        <row r="741">
          <cell r="B741">
            <v>51490</v>
          </cell>
          <cell r="C741" t="str">
            <v>Mortuary</v>
          </cell>
          <cell r="F741">
            <v>199958.96</v>
          </cell>
          <cell r="G741">
            <v>-153750</v>
          </cell>
          <cell r="H741">
            <v>46208.959999999992</v>
          </cell>
        </row>
        <row r="742">
          <cell r="B742">
            <v>51500</v>
          </cell>
          <cell r="C742" t="str">
            <v>Commercial Standards</v>
          </cell>
          <cell r="F742">
            <v>735094.28</v>
          </cell>
          <cell r="G742">
            <v>-48562.16</v>
          </cell>
          <cell r="H742">
            <v>686532.12</v>
          </cell>
        </row>
        <row r="743">
          <cell r="B743">
            <v>51600</v>
          </cell>
          <cell r="C743" t="str">
            <v>Pollution Control</v>
          </cell>
          <cell r="F743">
            <v>369875.9</v>
          </cell>
          <cell r="G743">
            <v>-2472.17</v>
          </cell>
          <cell r="H743">
            <v>367403.73000000004</v>
          </cell>
        </row>
        <row r="744">
          <cell r="B744">
            <v>51620</v>
          </cell>
          <cell r="C744" t="str">
            <v>Air Quality Monitoring Stations</v>
          </cell>
          <cell r="F744">
            <v>39293.43</v>
          </cell>
          <cell r="G744">
            <v>-5110.5200000000004</v>
          </cell>
          <cell r="H744">
            <v>34182.910000000003</v>
          </cell>
        </row>
        <row r="745">
          <cell r="B745">
            <v>51621</v>
          </cell>
          <cell r="C745" t="str">
            <v>Air Quality</v>
          </cell>
          <cell r="F745">
            <v>94253.07</v>
          </cell>
          <cell r="G745">
            <v>0</v>
          </cell>
          <cell r="H745">
            <v>94253.07</v>
          </cell>
        </row>
        <row r="746">
          <cell r="B746">
            <v>51622</v>
          </cell>
          <cell r="C746" t="str">
            <v>Pollution-Part B Processes</v>
          </cell>
          <cell r="F746">
            <v>25063.05</v>
          </cell>
          <cell r="G746">
            <v>-25063.05</v>
          </cell>
          <cell r="H746">
            <v>0</v>
          </cell>
        </row>
        <row r="747">
          <cell r="B747">
            <v>51623</v>
          </cell>
          <cell r="C747" t="str">
            <v>Pollution Control TFL</v>
          </cell>
          <cell r="F747">
            <v>30022.52</v>
          </cell>
          <cell r="G747">
            <v>-30022.52</v>
          </cell>
          <cell r="H747">
            <v>0</v>
          </cell>
        </row>
        <row r="748">
          <cell r="B748">
            <v>51640</v>
          </cell>
          <cell r="C748" t="str">
            <v>Land Contamination</v>
          </cell>
          <cell r="F748">
            <v>97590.15</v>
          </cell>
          <cell r="G748">
            <v>-3860.5</v>
          </cell>
          <cell r="H748">
            <v>93729.65</v>
          </cell>
        </row>
        <row r="749">
          <cell r="B749">
            <v>51680</v>
          </cell>
          <cell r="C749" t="str">
            <v>Environ Enforcement Team</v>
          </cell>
          <cell r="F749">
            <v>355468.96</v>
          </cell>
          <cell r="G749">
            <v>-5493.91</v>
          </cell>
          <cell r="H749">
            <v>349975.05000000005</v>
          </cell>
        </row>
        <row r="750">
          <cell r="B750">
            <v>51800</v>
          </cell>
          <cell r="C750" t="str">
            <v>Heathrow Health Control</v>
          </cell>
          <cell r="F750">
            <v>2267420.63</v>
          </cell>
          <cell r="G750">
            <v>-2267420.63</v>
          </cell>
          <cell r="H750">
            <v>0</v>
          </cell>
        </row>
        <row r="751">
          <cell r="B751">
            <v>51801</v>
          </cell>
          <cell r="C751" t="str">
            <v>Heathrow Imported Food Unit</v>
          </cell>
          <cell r="F751">
            <v>1634236.61</v>
          </cell>
          <cell r="G751">
            <v>-1589236.61</v>
          </cell>
          <cell r="H751">
            <v>45000</v>
          </cell>
        </row>
        <row r="752">
          <cell r="B752">
            <v>51802</v>
          </cell>
          <cell r="C752" t="str">
            <v>Soil Products - Imported Food</v>
          </cell>
          <cell r="F752">
            <v>105161.28</v>
          </cell>
          <cell r="G752">
            <v>-21595</v>
          </cell>
          <cell r="H752">
            <v>83566.28</v>
          </cell>
        </row>
        <row r="753">
          <cell r="B753">
            <v>51803</v>
          </cell>
          <cell r="C753" t="str">
            <v>Organic Food Service</v>
          </cell>
          <cell r="F753">
            <v>121821</v>
          </cell>
          <cell r="G753">
            <v>-121821</v>
          </cell>
          <cell r="H753">
            <v>0</v>
          </cell>
        </row>
        <row r="754">
          <cell r="B754">
            <v>51900</v>
          </cell>
          <cell r="C754" t="str">
            <v>Pest Control</v>
          </cell>
          <cell r="F754">
            <v>112685.28</v>
          </cell>
          <cell r="G754">
            <v>-11998.65</v>
          </cell>
          <cell r="H754">
            <v>100686.63</v>
          </cell>
        </row>
        <row r="755">
          <cell r="B755">
            <v>52010</v>
          </cell>
          <cell r="C755" t="str">
            <v>Animal Welfare</v>
          </cell>
          <cell r="F755">
            <v>57140.71</v>
          </cell>
          <cell r="G755">
            <v>-1227.96</v>
          </cell>
          <cell r="H755">
            <v>55912.75</v>
          </cell>
        </row>
        <row r="756">
          <cell r="B756">
            <v>52100</v>
          </cell>
          <cell r="C756" t="str">
            <v>Building Activity Licensing</v>
          </cell>
          <cell r="F756">
            <v>0</v>
          </cell>
          <cell r="G756">
            <v>-12429.9</v>
          </cell>
          <cell r="H756">
            <v>-12429.9</v>
          </cell>
        </row>
        <row r="757">
          <cell r="B757">
            <v>52101</v>
          </cell>
          <cell r="C757" t="str">
            <v>Street Trading Licencing</v>
          </cell>
          <cell r="F757">
            <v>0</v>
          </cell>
          <cell r="G757">
            <v>-21201.42</v>
          </cell>
          <cell r="H757">
            <v>-21201.42</v>
          </cell>
        </row>
        <row r="758">
          <cell r="B758">
            <v>52102</v>
          </cell>
          <cell r="C758" t="str">
            <v>Highways Licensing Misc</v>
          </cell>
          <cell r="F758">
            <v>0</v>
          </cell>
          <cell r="G758">
            <v>-2350</v>
          </cell>
          <cell r="H758">
            <v>-2350</v>
          </cell>
        </row>
        <row r="759">
          <cell r="B759">
            <v>52103</v>
          </cell>
          <cell r="C759" t="str">
            <v>Skips on Highway Licensing</v>
          </cell>
          <cell r="F759">
            <v>350.92</v>
          </cell>
          <cell r="G759">
            <v>-17126.5</v>
          </cell>
          <cell r="H759">
            <v>-16775.580000000002</v>
          </cell>
        </row>
        <row r="760">
          <cell r="B760">
            <v>52120</v>
          </cell>
          <cell r="C760" t="str">
            <v>Licensing Services</v>
          </cell>
          <cell r="F760">
            <v>332772.53000000003</v>
          </cell>
          <cell r="G760">
            <v>-170981.69</v>
          </cell>
          <cell r="H760">
            <v>161790.84000000003</v>
          </cell>
        </row>
        <row r="761">
          <cell r="B761">
            <v>52202</v>
          </cell>
          <cell r="C761" t="str">
            <v>Hatton Cross APC</v>
          </cell>
          <cell r="F761">
            <v>20644.36</v>
          </cell>
          <cell r="G761">
            <v>-769.3</v>
          </cell>
          <cell r="H761">
            <v>19875.060000000001</v>
          </cell>
        </row>
        <row r="762">
          <cell r="B762">
            <v>52203</v>
          </cell>
          <cell r="C762" t="str">
            <v>USL Hayes Town Centre</v>
          </cell>
          <cell r="F762">
            <v>23655.35</v>
          </cell>
          <cell r="G762">
            <v>-236.95</v>
          </cell>
          <cell r="H762">
            <v>23418.399999999998</v>
          </cell>
        </row>
        <row r="763">
          <cell r="B763">
            <v>52204</v>
          </cell>
          <cell r="C763" t="str">
            <v>USL Park Lane Harefield</v>
          </cell>
          <cell r="F763">
            <v>22470.959999999999</v>
          </cell>
          <cell r="G763">
            <v>-30.65</v>
          </cell>
          <cell r="H763">
            <v>22440.309999999998</v>
          </cell>
        </row>
        <row r="764">
          <cell r="B764">
            <v>52205</v>
          </cell>
          <cell r="C764" t="str">
            <v>USL Connaught Recreation Ground</v>
          </cell>
          <cell r="F764">
            <v>21886.6</v>
          </cell>
          <cell r="G764">
            <v>-44.3</v>
          </cell>
          <cell r="H764">
            <v>21842.3</v>
          </cell>
        </row>
        <row r="765">
          <cell r="B765">
            <v>52206</v>
          </cell>
          <cell r="C765" t="str">
            <v>USL Linden Avenue</v>
          </cell>
          <cell r="F765">
            <v>20451.34</v>
          </cell>
          <cell r="G765">
            <v>-24.25</v>
          </cell>
          <cell r="H765">
            <v>20427.09</v>
          </cell>
        </row>
        <row r="766">
          <cell r="B766">
            <v>52250</v>
          </cell>
          <cell r="C766" t="str">
            <v>PC Management</v>
          </cell>
          <cell r="F766">
            <v>24788.400000000001</v>
          </cell>
          <cell r="G766">
            <v>0</v>
          </cell>
          <cell r="H766">
            <v>24788.400000000001</v>
          </cell>
        </row>
        <row r="767">
          <cell r="B767">
            <v>52257</v>
          </cell>
          <cell r="C767" t="str">
            <v>PC Botwell Lane Hayes</v>
          </cell>
          <cell r="F767">
            <v>7180.04</v>
          </cell>
          <cell r="G767">
            <v>0</v>
          </cell>
          <cell r="H767">
            <v>7180.04</v>
          </cell>
        </row>
        <row r="768">
          <cell r="B768">
            <v>52259</v>
          </cell>
          <cell r="C768" t="str">
            <v>PC Oaklands Gate Northwood</v>
          </cell>
          <cell r="F768">
            <v>22796.01</v>
          </cell>
          <cell r="G768">
            <v>-262.95</v>
          </cell>
          <cell r="H768">
            <v>22533.059999999998</v>
          </cell>
        </row>
        <row r="769">
          <cell r="B769">
            <v>52261</v>
          </cell>
          <cell r="C769" t="str">
            <v>PC Joel Street Northwood</v>
          </cell>
          <cell r="F769">
            <v>4.4400000000000004</v>
          </cell>
          <cell r="G769">
            <v>0</v>
          </cell>
          <cell r="H769">
            <v>4.4400000000000004</v>
          </cell>
        </row>
        <row r="770">
          <cell r="B770">
            <v>52265</v>
          </cell>
          <cell r="C770" t="str">
            <v>PC Manor Farm Ruislip</v>
          </cell>
          <cell r="F770">
            <v>7938.78</v>
          </cell>
          <cell r="G770">
            <v>0</v>
          </cell>
          <cell r="H770">
            <v>7938.78</v>
          </cell>
        </row>
        <row r="771">
          <cell r="B771">
            <v>52330</v>
          </cell>
          <cell r="C771" t="str">
            <v>CCTV</v>
          </cell>
          <cell r="F771">
            <v>1015144.88</v>
          </cell>
          <cell r="G771">
            <v>-14076.41</v>
          </cell>
          <cell r="H771">
            <v>1001068.47</v>
          </cell>
        </row>
        <row r="772">
          <cell r="B772">
            <v>52350</v>
          </cell>
          <cell r="C772" t="str">
            <v>Community Safety-Health &amp; Safety</v>
          </cell>
          <cell r="F772">
            <v>487932.39</v>
          </cell>
          <cell r="G772">
            <v>-199819</v>
          </cell>
          <cell r="H772">
            <v>288113.39</v>
          </cell>
        </row>
        <row r="773">
          <cell r="B773">
            <v>52400</v>
          </cell>
          <cell r="C773" t="str">
            <v>Environment Agency - Levy</v>
          </cell>
          <cell r="F773">
            <v>110704</v>
          </cell>
          <cell r="G773">
            <v>0</v>
          </cell>
          <cell r="H773">
            <v>110704</v>
          </cell>
        </row>
        <row r="774">
          <cell r="B774">
            <v>52500</v>
          </cell>
          <cell r="C774" t="str">
            <v>Trading Standards</v>
          </cell>
          <cell r="F774">
            <v>521092.86</v>
          </cell>
          <cell r="G774">
            <v>-15298.12</v>
          </cell>
          <cell r="H774">
            <v>505794.74</v>
          </cell>
        </row>
        <row r="775">
          <cell r="B775">
            <v>52603</v>
          </cell>
          <cell r="C775" t="str">
            <v>Street Cleansing - Litter Abatemen</v>
          </cell>
          <cell r="F775">
            <v>31684.98</v>
          </cell>
          <cell r="G775">
            <v>0</v>
          </cell>
          <cell r="H775">
            <v>31684.98</v>
          </cell>
        </row>
        <row r="776">
          <cell r="B776">
            <v>52770</v>
          </cell>
          <cell r="C776" t="str">
            <v>New Years Green Lane CA Site</v>
          </cell>
          <cell r="F776">
            <v>442327.32</v>
          </cell>
          <cell r="G776">
            <v>-339095.87</v>
          </cell>
          <cell r="H776">
            <v>103231.45000000001</v>
          </cell>
        </row>
        <row r="777">
          <cell r="B777">
            <v>52771</v>
          </cell>
          <cell r="C777" t="str">
            <v>Rigby Lane CA Site</v>
          </cell>
          <cell r="F777">
            <v>520447.65</v>
          </cell>
          <cell r="G777">
            <v>-458361.98</v>
          </cell>
          <cell r="H777">
            <v>62085.670000000042</v>
          </cell>
        </row>
        <row r="778">
          <cell r="B778">
            <v>52772</v>
          </cell>
          <cell r="C778" t="str">
            <v>Victoria Road CA Site</v>
          </cell>
          <cell r="F778">
            <v>181219</v>
          </cell>
          <cell r="G778">
            <v>0</v>
          </cell>
          <cell r="H778">
            <v>181219</v>
          </cell>
        </row>
        <row r="779">
          <cell r="B779">
            <v>52780</v>
          </cell>
          <cell r="C779" t="str">
            <v>Abandoned Vehicles Removal</v>
          </cell>
          <cell r="F779">
            <v>181349.79</v>
          </cell>
          <cell r="G779">
            <v>-21550.38</v>
          </cell>
          <cell r="H779">
            <v>159799.41</v>
          </cell>
        </row>
        <row r="780">
          <cell r="B780">
            <v>52800</v>
          </cell>
          <cell r="C780" t="str">
            <v>Waste Disposal</v>
          </cell>
          <cell r="F780">
            <v>5732156.96</v>
          </cell>
          <cell r="G780">
            <v>-89043.51</v>
          </cell>
          <cell r="H780">
            <v>5643113.4500000002</v>
          </cell>
        </row>
        <row r="781">
          <cell r="B781">
            <v>52901</v>
          </cell>
          <cell r="C781" t="str">
            <v>Barra Hall</v>
          </cell>
          <cell r="F781">
            <v>11265.95</v>
          </cell>
          <cell r="G781">
            <v>0</v>
          </cell>
          <cell r="H781">
            <v>11265.95</v>
          </cell>
        </row>
        <row r="782">
          <cell r="B782">
            <v>52902</v>
          </cell>
          <cell r="C782" t="str">
            <v>Environ Services-Admin Supp</v>
          </cell>
          <cell r="F782">
            <v>202935.27</v>
          </cell>
          <cell r="G782">
            <v>0</v>
          </cell>
          <cell r="H782">
            <v>202935.27</v>
          </cell>
        </row>
        <row r="783">
          <cell r="B783">
            <v>53101</v>
          </cell>
          <cell r="C783" t="str">
            <v>Section 106/278 Advice</v>
          </cell>
          <cell r="F783">
            <v>134262.64000000001</v>
          </cell>
          <cell r="G783">
            <v>0</v>
          </cell>
          <cell r="H783">
            <v>134262.64000000001</v>
          </cell>
        </row>
        <row r="784">
          <cell r="B784">
            <v>53120</v>
          </cell>
          <cell r="C784" t="str">
            <v>Development Control</v>
          </cell>
          <cell r="F784">
            <v>1188093.8799999999</v>
          </cell>
          <cell r="G784">
            <v>10.5</v>
          </cell>
          <cell r="H784">
            <v>1188104.3799999999</v>
          </cell>
        </row>
        <row r="785">
          <cell r="B785">
            <v>53121</v>
          </cell>
          <cell r="C785" t="str">
            <v>Major Applications - Dev Control</v>
          </cell>
          <cell r="F785">
            <v>459433.96</v>
          </cell>
          <cell r="G785">
            <v>-18.72</v>
          </cell>
          <cell r="H785">
            <v>459415.24000000005</v>
          </cell>
        </row>
        <row r="786">
          <cell r="B786">
            <v>53123</v>
          </cell>
          <cell r="C786" t="str">
            <v>Technical Admin</v>
          </cell>
          <cell r="F786">
            <v>485768.11</v>
          </cell>
          <cell r="G786">
            <v>-15000</v>
          </cell>
          <cell r="H786">
            <v>470768.11</v>
          </cell>
        </row>
        <row r="787">
          <cell r="B787">
            <v>53125</v>
          </cell>
          <cell r="C787" t="str">
            <v>Appeals</v>
          </cell>
          <cell r="F787">
            <v>4710.34</v>
          </cell>
          <cell r="G787">
            <v>0</v>
          </cell>
          <cell r="H787">
            <v>4710.34</v>
          </cell>
        </row>
        <row r="788">
          <cell r="B788">
            <v>53126</v>
          </cell>
          <cell r="C788" t="str">
            <v>Conservation Advice</v>
          </cell>
          <cell r="F788">
            <v>139850.18</v>
          </cell>
          <cell r="G788">
            <v>0</v>
          </cell>
          <cell r="H788">
            <v>139850.18</v>
          </cell>
        </row>
        <row r="789">
          <cell r="B789">
            <v>53127</v>
          </cell>
          <cell r="C789" t="str">
            <v>Development Control Income</v>
          </cell>
          <cell r="F789">
            <v>0</v>
          </cell>
          <cell r="G789">
            <v>-1220260.8700000001</v>
          </cell>
          <cell r="H789">
            <v>-1220260.8700000001</v>
          </cell>
        </row>
        <row r="790">
          <cell r="B790">
            <v>53143</v>
          </cell>
          <cell r="C790" t="str">
            <v>Flight Times Planning Inquiry</v>
          </cell>
          <cell r="F790">
            <v>5000</v>
          </cell>
          <cell r="G790">
            <v>0</v>
          </cell>
          <cell r="H790">
            <v>5000</v>
          </cell>
        </row>
        <row r="791">
          <cell r="B791">
            <v>53160</v>
          </cell>
          <cell r="C791" t="str">
            <v>Planning Enforcement</v>
          </cell>
          <cell r="F791">
            <v>385644.3</v>
          </cell>
          <cell r="G791">
            <v>0</v>
          </cell>
          <cell r="H791">
            <v>385644.3</v>
          </cell>
        </row>
        <row r="792">
          <cell r="B792">
            <v>53170</v>
          </cell>
          <cell r="C792" t="str">
            <v>Aviation/Terminal 5 Team</v>
          </cell>
          <cell r="F792">
            <v>239974.46</v>
          </cell>
          <cell r="G792">
            <v>-200000</v>
          </cell>
          <cell r="H792">
            <v>39974.459999999992</v>
          </cell>
        </row>
        <row r="793">
          <cell r="B793">
            <v>53176</v>
          </cell>
          <cell r="C793" t="str">
            <v>Crossrail</v>
          </cell>
          <cell r="F793">
            <v>99999.53</v>
          </cell>
          <cell r="G793">
            <v>0</v>
          </cell>
          <cell r="H793">
            <v>99999.53</v>
          </cell>
        </row>
        <row r="794">
          <cell r="B794">
            <v>53200</v>
          </cell>
          <cell r="C794" t="str">
            <v>Planning Policy</v>
          </cell>
          <cell r="F794">
            <v>375043</v>
          </cell>
          <cell r="G794">
            <v>-320.01</v>
          </cell>
          <cell r="H794">
            <v>374722.99</v>
          </cell>
        </row>
        <row r="795">
          <cell r="B795">
            <v>53210</v>
          </cell>
          <cell r="C795" t="str">
            <v>Local Development Framework Plan</v>
          </cell>
          <cell r="F795">
            <v>162511.49</v>
          </cell>
          <cell r="G795">
            <v>-2631.45</v>
          </cell>
          <cell r="H795">
            <v>159880.03999999998</v>
          </cell>
        </row>
        <row r="796">
          <cell r="B796">
            <v>53230</v>
          </cell>
          <cell r="C796" t="str">
            <v>Development Team</v>
          </cell>
          <cell r="F796">
            <v>247710.07999999999</v>
          </cell>
          <cell r="G796">
            <v>-27317.68</v>
          </cell>
          <cell r="H796">
            <v>220392.4</v>
          </cell>
        </row>
        <row r="797">
          <cell r="B797">
            <v>53240</v>
          </cell>
          <cell r="C797" t="str">
            <v>Colne Valley Park - Policy</v>
          </cell>
          <cell r="F797">
            <v>11231</v>
          </cell>
          <cell r="G797">
            <v>0</v>
          </cell>
          <cell r="H797">
            <v>11231</v>
          </cell>
        </row>
        <row r="798">
          <cell r="B798">
            <v>53250</v>
          </cell>
          <cell r="C798" t="str">
            <v>Tees &amp; Forestry - Policy</v>
          </cell>
          <cell r="F798">
            <v>130240.9</v>
          </cell>
          <cell r="G798">
            <v>0</v>
          </cell>
          <cell r="H798">
            <v>130240.9</v>
          </cell>
        </row>
        <row r="799">
          <cell r="B799">
            <v>53251</v>
          </cell>
          <cell r="C799" t="str">
            <v>High Hedges Complaints</v>
          </cell>
          <cell r="F799">
            <v>0</v>
          </cell>
          <cell r="G799">
            <v>-500</v>
          </cell>
          <cell r="H799">
            <v>-500</v>
          </cell>
        </row>
        <row r="800">
          <cell r="B800">
            <v>53373</v>
          </cell>
          <cell r="C800" t="str">
            <v>S106 Funded Projects</v>
          </cell>
          <cell r="F800">
            <v>780513.71</v>
          </cell>
          <cell r="G800">
            <v>-780513.71</v>
          </cell>
          <cell r="H800">
            <v>0</v>
          </cell>
        </row>
        <row r="801">
          <cell r="B801">
            <v>53374</v>
          </cell>
          <cell r="C801" t="str">
            <v>S106 - Project Management Fees</v>
          </cell>
          <cell r="F801">
            <v>849.03</v>
          </cell>
          <cell r="G801">
            <v>-849.03</v>
          </cell>
          <cell r="H801">
            <v>0</v>
          </cell>
        </row>
        <row r="802">
          <cell r="B802">
            <v>53375</v>
          </cell>
          <cell r="C802" t="str">
            <v>S106 - Project Monitoring Fees</v>
          </cell>
          <cell r="F802">
            <v>14652.52</v>
          </cell>
          <cell r="G802">
            <v>-14652.52</v>
          </cell>
          <cell r="H802">
            <v>0</v>
          </cell>
        </row>
        <row r="803">
          <cell r="B803">
            <v>53600</v>
          </cell>
          <cell r="C803" t="str">
            <v>P&amp;T Directorate Support</v>
          </cell>
          <cell r="F803">
            <v>720069.19</v>
          </cell>
          <cell r="G803">
            <v>-25637.26</v>
          </cell>
          <cell r="H803">
            <v>694431.92999999993</v>
          </cell>
        </row>
        <row r="804">
          <cell r="B804">
            <v>53601</v>
          </cell>
          <cell r="C804" t="str">
            <v>E:Government/Ocella</v>
          </cell>
          <cell r="F804">
            <v>185626.93</v>
          </cell>
          <cell r="G804">
            <v>0</v>
          </cell>
          <cell r="H804">
            <v>185626.93</v>
          </cell>
        </row>
        <row r="805">
          <cell r="B805">
            <v>53604</v>
          </cell>
          <cell r="C805" t="str">
            <v>Planning Delivery Grant</v>
          </cell>
          <cell r="F805">
            <v>560386</v>
          </cell>
          <cell r="G805">
            <v>-560386</v>
          </cell>
          <cell r="H805">
            <v>0</v>
          </cell>
        </row>
        <row r="806">
          <cell r="B806">
            <v>53800</v>
          </cell>
          <cell r="C806" t="str">
            <v>Building Regulations (Fee)</v>
          </cell>
          <cell r="F806">
            <v>1281982.83</v>
          </cell>
          <cell r="G806">
            <v>-802633.19</v>
          </cell>
          <cell r="H806">
            <v>479349.64000000013</v>
          </cell>
        </row>
        <row r="807">
          <cell r="B807">
            <v>54101</v>
          </cell>
          <cell r="C807" t="str">
            <v>Construction NPR, Cap Charges</v>
          </cell>
          <cell r="F807">
            <v>2981362.39</v>
          </cell>
          <cell r="G807">
            <v>-26.52</v>
          </cell>
          <cell r="H807">
            <v>2981335.87</v>
          </cell>
        </row>
        <row r="808">
          <cell r="B808">
            <v>54102</v>
          </cell>
          <cell r="C808" t="str">
            <v>Const: Heavy Duty Crossings (PR)</v>
          </cell>
          <cell r="F808">
            <v>22932.16</v>
          </cell>
          <cell r="G808">
            <v>-22932.16</v>
          </cell>
          <cell r="H808">
            <v>0</v>
          </cell>
        </row>
        <row r="809">
          <cell r="B809">
            <v>54362</v>
          </cell>
          <cell r="C809" t="str">
            <v>Footway Mtce PR</v>
          </cell>
          <cell r="F809">
            <v>49849.97</v>
          </cell>
          <cell r="G809">
            <v>0</v>
          </cell>
          <cell r="H809">
            <v>49849.97</v>
          </cell>
        </row>
        <row r="810">
          <cell r="B810">
            <v>54440</v>
          </cell>
          <cell r="C810" t="str">
            <v>Drainage Fabric PR</v>
          </cell>
          <cell r="F810">
            <v>10308.799999999999</v>
          </cell>
          <cell r="G810">
            <v>0</v>
          </cell>
          <cell r="H810">
            <v>10308.799999999999</v>
          </cell>
        </row>
        <row r="811">
          <cell r="B811">
            <v>54441</v>
          </cell>
          <cell r="C811" t="str">
            <v>Pumping Stations PR</v>
          </cell>
          <cell r="F811">
            <v>13128.78</v>
          </cell>
          <cell r="G811">
            <v>0</v>
          </cell>
          <cell r="H811">
            <v>13128.78</v>
          </cell>
        </row>
        <row r="812">
          <cell r="B812">
            <v>54460</v>
          </cell>
          <cell r="C812" t="str">
            <v>Fencing, Walls, Barriers</v>
          </cell>
          <cell r="F812">
            <v>8667.99</v>
          </cell>
          <cell r="G812">
            <v>0</v>
          </cell>
          <cell r="H812">
            <v>8667.99</v>
          </cell>
        </row>
        <row r="813">
          <cell r="B813">
            <v>54461</v>
          </cell>
          <cell r="C813" t="str">
            <v>Street Furniture</v>
          </cell>
          <cell r="F813">
            <v>20190.46</v>
          </cell>
          <cell r="G813">
            <v>0</v>
          </cell>
          <cell r="H813">
            <v>20190.46</v>
          </cell>
        </row>
        <row r="814">
          <cell r="B814">
            <v>54500</v>
          </cell>
          <cell r="C814" t="str">
            <v>Carriageway Recon NPR</v>
          </cell>
          <cell r="F814">
            <v>53.83</v>
          </cell>
          <cell r="G814">
            <v>0</v>
          </cell>
          <cell r="H814">
            <v>53.83</v>
          </cell>
        </row>
        <row r="815">
          <cell r="B815">
            <v>54501</v>
          </cell>
          <cell r="C815" t="str">
            <v>Footway Reconstruction</v>
          </cell>
          <cell r="F815">
            <v>18569.61</v>
          </cell>
          <cell r="G815">
            <v>0</v>
          </cell>
          <cell r="H815">
            <v>18569.61</v>
          </cell>
        </row>
        <row r="816">
          <cell r="B816">
            <v>54560</v>
          </cell>
          <cell r="C816" t="str">
            <v>Resurfacing (Patching) NPR</v>
          </cell>
          <cell r="F816">
            <v>637212.79</v>
          </cell>
          <cell r="G816">
            <v>0</v>
          </cell>
          <cell r="H816">
            <v>637212.79</v>
          </cell>
        </row>
        <row r="817">
          <cell r="B817">
            <v>54561</v>
          </cell>
          <cell r="C817" t="str">
            <v>Footway Mtce NPR</v>
          </cell>
          <cell r="F817">
            <v>1104361.93</v>
          </cell>
          <cell r="G817">
            <v>381.4</v>
          </cell>
          <cell r="H817">
            <v>1104743.3299999998</v>
          </cell>
        </row>
        <row r="818">
          <cell r="B818">
            <v>54640</v>
          </cell>
          <cell r="C818" t="str">
            <v>Drainage Fabric NPR</v>
          </cell>
          <cell r="F818">
            <v>81550.03</v>
          </cell>
          <cell r="G818">
            <v>0</v>
          </cell>
          <cell r="H818">
            <v>81550.03</v>
          </cell>
        </row>
        <row r="819">
          <cell r="B819">
            <v>54641</v>
          </cell>
          <cell r="C819" t="str">
            <v>Pumping Stations NPR</v>
          </cell>
          <cell r="F819">
            <v>17893.2</v>
          </cell>
          <cell r="G819">
            <v>0</v>
          </cell>
          <cell r="H819">
            <v>17893.2</v>
          </cell>
        </row>
        <row r="820">
          <cell r="B820">
            <v>54660</v>
          </cell>
          <cell r="C820" t="str">
            <v>Fencing, Walls, Barriers NPR</v>
          </cell>
          <cell r="F820">
            <v>32954.949999999997</v>
          </cell>
          <cell r="G820">
            <v>0</v>
          </cell>
          <cell r="H820">
            <v>32954.949999999997</v>
          </cell>
        </row>
        <row r="821">
          <cell r="B821">
            <v>54661</v>
          </cell>
          <cell r="C821" t="str">
            <v>Street Furniture NPR</v>
          </cell>
          <cell r="F821">
            <v>91019.1</v>
          </cell>
          <cell r="G821">
            <v>0</v>
          </cell>
          <cell r="H821">
            <v>91019.1</v>
          </cell>
        </row>
        <row r="822">
          <cell r="B822">
            <v>54680</v>
          </cell>
          <cell r="C822" t="str">
            <v>Public Liability Insurance Claims</v>
          </cell>
          <cell r="F822">
            <v>929992.81</v>
          </cell>
          <cell r="G822">
            <v>-50</v>
          </cell>
          <cell r="H822">
            <v>929942.81</v>
          </cell>
        </row>
        <row r="823">
          <cell r="B823">
            <v>54800</v>
          </cell>
          <cell r="C823" t="str">
            <v>Road Bridge NPR</v>
          </cell>
          <cell r="F823">
            <v>3951.87</v>
          </cell>
          <cell r="G823">
            <v>8823.61</v>
          </cell>
          <cell r="H823">
            <v>12775.48</v>
          </cell>
        </row>
        <row r="824">
          <cell r="B824">
            <v>54801</v>
          </cell>
          <cell r="C824" t="str">
            <v>Foot/Cycle Bridge NPR</v>
          </cell>
          <cell r="F824">
            <v>22735.66</v>
          </cell>
          <cell r="G824">
            <v>0</v>
          </cell>
          <cell r="H824">
            <v>22735.66</v>
          </cell>
        </row>
        <row r="825">
          <cell r="B825">
            <v>54803</v>
          </cell>
          <cell r="C825" t="str">
            <v>Subway NPR</v>
          </cell>
          <cell r="F825">
            <v>2227</v>
          </cell>
          <cell r="G825">
            <v>0</v>
          </cell>
          <cell r="H825">
            <v>2227</v>
          </cell>
        </row>
        <row r="826">
          <cell r="B826">
            <v>54810</v>
          </cell>
          <cell r="C826" t="str">
            <v>Abnormal Loads</v>
          </cell>
          <cell r="F826">
            <v>15798.13</v>
          </cell>
          <cell r="G826">
            <v>0</v>
          </cell>
          <cell r="H826">
            <v>15798.13</v>
          </cell>
        </row>
        <row r="827">
          <cell r="B827">
            <v>54811</v>
          </cell>
          <cell r="C827" t="str">
            <v>Public Utilities</v>
          </cell>
          <cell r="F827">
            <v>-119.43</v>
          </cell>
          <cell r="G827">
            <v>0</v>
          </cell>
          <cell r="H827">
            <v>-119.43</v>
          </cell>
        </row>
        <row r="828">
          <cell r="B828">
            <v>54812</v>
          </cell>
          <cell r="C828" t="str">
            <v>Reservoirs Act</v>
          </cell>
          <cell r="F828">
            <v>24671.74</v>
          </cell>
          <cell r="G828">
            <v>0</v>
          </cell>
          <cell r="H828">
            <v>24671.74</v>
          </cell>
        </row>
        <row r="829">
          <cell r="B829">
            <v>54813</v>
          </cell>
          <cell r="C829" t="str">
            <v>Register &amp; Records</v>
          </cell>
          <cell r="F829">
            <v>25159.599999999999</v>
          </cell>
          <cell r="G829">
            <v>0</v>
          </cell>
          <cell r="H829">
            <v>25159.599999999999</v>
          </cell>
        </row>
        <row r="830">
          <cell r="B830">
            <v>55070</v>
          </cell>
          <cell r="C830" t="str">
            <v>Verge Maint PR</v>
          </cell>
          <cell r="F830">
            <v>58308.959999999999</v>
          </cell>
          <cell r="G830">
            <v>0</v>
          </cell>
          <cell r="H830">
            <v>58308.959999999999</v>
          </cell>
        </row>
        <row r="831">
          <cell r="B831">
            <v>55130</v>
          </cell>
          <cell r="C831" t="str">
            <v>Fly Posting Removal PR</v>
          </cell>
          <cell r="F831">
            <v>10298.969999999999</v>
          </cell>
          <cell r="G831">
            <v>0</v>
          </cell>
          <cell r="H831">
            <v>10298.969999999999</v>
          </cell>
        </row>
        <row r="832">
          <cell r="B832">
            <v>55200</v>
          </cell>
          <cell r="C832" t="str">
            <v>Street Trees NPR</v>
          </cell>
          <cell r="F832">
            <v>316723.96999999997</v>
          </cell>
          <cell r="G832">
            <v>0</v>
          </cell>
          <cell r="H832">
            <v>316723.96999999997</v>
          </cell>
        </row>
        <row r="833">
          <cell r="B833">
            <v>55270</v>
          </cell>
          <cell r="C833" t="str">
            <v>Verge Maint NPR</v>
          </cell>
          <cell r="F833">
            <v>645260.82999999996</v>
          </cell>
          <cell r="G833">
            <v>0</v>
          </cell>
          <cell r="H833">
            <v>645260.82999999996</v>
          </cell>
        </row>
        <row r="834">
          <cell r="B834">
            <v>55271</v>
          </cell>
          <cell r="C834" t="str">
            <v>Verge Maint NPR - sponsorship</v>
          </cell>
          <cell r="F834">
            <v>43529.34</v>
          </cell>
          <cell r="G834">
            <v>-48080.61</v>
          </cell>
          <cell r="H834">
            <v>-4551.2700000000041</v>
          </cell>
        </row>
        <row r="835">
          <cell r="B835">
            <v>55330</v>
          </cell>
          <cell r="C835" t="str">
            <v>Fly Posting Removal NPR</v>
          </cell>
          <cell r="F835">
            <v>10298.969999999999</v>
          </cell>
          <cell r="G835">
            <v>0</v>
          </cell>
          <cell r="H835">
            <v>10298.969999999999</v>
          </cell>
        </row>
        <row r="836">
          <cell r="B836">
            <v>55400</v>
          </cell>
          <cell r="C836" t="str">
            <v>Winter Maintenance</v>
          </cell>
          <cell r="F836">
            <v>319635.11</v>
          </cell>
          <cell r="G836">
            <v>0</v>
          </cell>
          <cell r="H836">
            <v>319635.11</v>
          </cell>
        </row>
        <row r="837">
          <cell r="B837">
            <v>55520</v>
          </cell>
          <cell r="C837" t="str">
            <v>Safety Mtce - Signs PR</v>
          </cell>
          <cell r="F837">
            <v>45318.02</v>
          </cell>
          <cell r="G837">
            <v>0</v>
          </cell>
          <cell r="H837">
            <v>45318.02</v>
          </cell>
        </row>
        <row r="838">
          <cell r="B838">
            <v>55521</v>
          </cell>
          <cell r="C838" t="str">
            <v>Safety Mtce Road Markings PR</v>
          </cell>
          <cell r="F838">
            <v>13547.73</v>
          </cell>
          <cell r="G838">
            <v>0</v>
          </cell>
          <cell r="H838">
            <v>13547.73</v>
          </cell>
        </row>
        <row r="839">
          <cell r="B839">
            <v>55540</v>
          </cell>
          <cell r="C839" t="str">
            <v>Safety Mtce - Crossings PR</v>
          </cell>
          <cell r="F839">
            <v>2703.02</v>
          </cell>
          <cell r="G839">
            <v>0</v>
          </cell>
          <cell r="H839">
            <v>2703.02</v>
          </cell>
        </row>
        <row r="840">
          <cell r="B840">
            <v>55560</v>
          </cell>
          <cell r="C840" t="str">
            <v>Safety Mtce - Illum Bollards PR</v>
          </cell>
          <cell r="F840">
            <v>59386.02</v>
          </cell>
          <cell r="G840">
            <v>0</v>
          </cell>
          <cell r="H840">
            <v>59386.02</v>
          </cell>
        </row>
        <row r="841">
          <cell r="B841">
            <v>55600</v>
          </cell>
          <cell r="C841" t="str">
            <v>Safety Mtce - Traf Signals NPR</v>
          </cell>
          <cell r="F841">
            <v>9.9</v>
          </cell>
          <cell r="G841">
            <v>0</v>
          </cell>
          <cell r="H841">
            <v>9.9</v>
          </cell>
        </row>
        <row r="842">
          <cell r="B842">
            <v>55620</v>
          </cell>
          <cell r="C842" t="str">
            <v>Safety Mtce - Signs NPR</v>
          </cell>
          <cell r="F842">
            <v>104756.34</v>
          </cell>
          <cell r="G842">
            <v>-1520</v>
          </cell>
          <cell r="H842">
            <v>103236.34</v>
          </cell>
        </row>
        <row r="843">
          <cell r="B843">
            <v>55621</v>
          </cell>
          <cell r="C843" t="str">
            <v>Safety Mtce-Road Markings NPR</v>
          </cell>
          <cell r="F843">
            <v>34954.959999999999</v>
          </cell>
          <cell r="G843">
            <v>-330</v>
          </cell>
          <cell r="H843">
            <v>34624.959999999999</v>
          </cell>
        </row>
        <row r="844">
          <cell r="B844">
            <v>55640</v>
          </cell>
          <cell r="C844" t="str">
            <v>Safety Mtce - Crossings NPR</v>
          </cell>
          <cell r="F844">
            <v>4436.05</v>
          </cell>
          <cell r="G844">
            <v>0</v>
          </cell>
          <cell r="H844">
            <v>4436.05</v>
          </cell>
        </row>
        <row r="845">
          <cell r="B845">
            <v>55660</v>
          </cell>
          <cell r="C845" t="str">
            <v>Safety Mtce - Illum Bollards NPR</v>
          </cell>
          <cell r="F845">
            <v>89283.67</v>
          </cell>
          <cell r="G845">
            <v>0</v>
          </cell>
          <cell r="H845">
            <v>89283.67</v>
          </cell>
        </row>
        <row r="846">
          <cell r="B846">
            <v>55700</v>
          </cell>
          <cell r="C846" t="str">
            <v>Patching Minor Works PR</v>
          </cell>
          <cell r="F846">
            <v>2626.41</v>
          </cell>
          <cell r="G846">
            <v>0</v>
          </cell>
          <cell r="H846">
            <v>2626.41</v>
          </cell>
        </row>
        <row r="847">
          <cell r="B847">
            <v>55720</v>
          </cell>
          <cell r="C847" t="str">
            <v>Drainage Cleaning PR</v>
          </cell>
          <cell r="F847">
            <v>14819.8</v>
          </cell>
          <cell r="G847">
            <v>0</v>
          </cell>
          <cell r="H847">
            <v>14819.8</v>
          </cell>
        </row>
        <row r="848">
          <cell r="B848">
            <v>55721</v>
          </cell>
          <cell r="C848" t="str">
            <v>Ditches PR</v>
          </cell>
          <cell r="F848">
            <v>28383.09</v>
          </cell>
          <cell r="G848">
            <v>0</v>
          </cell>
          <cell r="H848">
            <v>28383.09</v>
          </cell>
        </row>
        <row r="849">
          <cell r="B849">
            <v>55781</v>
          </cell>
          <cell r="C849" t="str">
            <v>Technical Surveys PR</v>
          </cell>
          <cell r="F849">
            <v>3403.54</v>
          </cell>
          <cell r="G849">
            <v>0</v>
          </cell>
          <cell r="H849">
            <v>3403.54</v>
          </cell>
        </row>
        <row r="850">
          <cell r="B850">
            <v>55782</v>
          </cell>
          <cell r="C850" t="str">
            <v>Safety Inspections</v>
          </cell>
          <cell r="F850">
            <v>509.14</v>
          </cell>
          <cell r="G850">
            <v>0</v>
          </cell>
          <cell r="H850">
            <v>509.14</v>
          </cell>
        </row>
        <row r="851">
          <cell r="B851">
            <v>55800</v>
          </cell>
          <cell r="C851" t="str">
            <v>Patching Minor Works NPR</v>
          </cell>
          <cell r="F851">
            <v>101893.87</v>
          </cell>
          <cell r="G851">
            <v>0</v>
          </cell>
          <cell r="H851">
            <v>101893.87</v>
          </cell>
        </row>
        <row r="852">
          <cell r="B852">
            <v>55801</v>
          </cell>
          <cell r="C852" t="str">
            <v>Public Rights of Way NPR</v>
          </cell>
          <cell r="F852">
            <v>73522.149999999994</v>
          </cell>
          <cell r="G852">
            <v>0</v>
          </cell>
          <cell r="H852">
            <v>73522.149999999994</v>
          </cell>
        </row>
        <row r="853">
          <cell r="B853">
            <v>55840</v>
          </cell>
          <cell r="C853" t="str">
            <v>Drainage Cleaning  NPR</v>
          </cell>
          <cell r="F853">
            <v>163637.4</v>
          </cell>
          <cell r="G853">
            <v>0</v>
          </cell>
          <cell r="H853">
            <v>163637.4</v>
          </cell>
        </row>
        <row r="854">
          <cell r="B854">
            <v>55841</v>
          </cell>
          <cell r="C854" t="str">
            <v>Ditches NPR</v>
          </cell>
          <cell r="F854">
            <v>66661.58</v>
          </cell>
          <cell r="G854">
            <v>0</v>
          </cell>
          <cell r="H854">
            <v>66661.58</v>
          </cell>
        </row>
        <row r="855">
          <cell r="B855">
            <v>55970</v>
          </cell>
          <cell r="C855" t="str">
            <v>Routine Inspec - NRSWA NPR</v>
          </cell>
          <cell r="F855">
            <v>181957.71</v>
          </cell>
          <cell r="G855">
            <v>-238627.38</v>
          </cell>
          <cell r="H855">
            <v>-56669.670000000013</v>
          </cell>
        </row>
        <row r="856">
          <cell r="B856">
            <v>55971</v>
          </cell>
          <cell r="C856" t="str">
            <v>Technical Surveys NPR</v>
          </cell>
          <cell r="F856">
            <v>37011.56</v>
          </cell>
          <cell r="G856">
            <v>0</v>
          </cell>
          <cell r="H856">
            <v>37011.56</v>
          </cell>
        </row>
        <row r="857">
          <cell r="B857">
            <v>55972</v>
          </cell>
          <cell r="C857" t="str">
            <v>Safety Inspections</v>
          </cell>
          <cell r="F857">
            <v>245303.19</v>
          </cell>
          <cell r="G857">
            <v>0</v>
          </cell>
          <cell r="H857">
            <v>245303.19</v>
          </cell>
        </row>
        <row r="858">
          <cell r="B858">
            <v>55973</v>
          </cell>
          <cell r="C858" t="str">
            <v>NRSWA schemes</v>
          </cell>
          <cell r="F858">
            <v>-17217.27</v>
          </cell>
          <cell r="G858">
            <v>17217.240000000002</v>
          </cell>
          <cell r="H858">
            <v>-2.9999999998835847E-2</v>
          </cell>
        </row>
        <row r="859">
          <cell r="B859">
            <v>56000</v>
          </cell>
          <cell r="C859" t="str">
            <v>Street Lighting Mtce PR</v>
          </cell>
          <cell r="F859">
            <v>60822.91</v>
          </cell>
          <cell r="G859">
            <v>0</v>
          </cell>
          <cell r="H859">
            <v>60822.91</v>
          </cell>
        </row>
        <row r="860">
          <cell r="B860">
            <v>56300</v>
          </cell>
          <cell r="C860" t="str">
            <v>Street Lighting PR</v>
          </cell>
          <cell r="F860">
            <v>92004.94</v>
          </cell>
          <cell r="G860">
            <v>0</v>
          </cell>
          <cell r="H860">
            <v>92004.94</v>
          </cell>
        </row>
        <row r="861">
          <cell r="B861">
            <v>56500</v>
          </cell>
          <cell r="C861" t="str">
            <v>Street Lighting Mtce NPR</v>
          </cell>
          <cell r="F861">
            <v>501304.56</v>
          </cell>
          <cell r="G861">
            <v>0</v>
          </cell>
          <cell r="H861">
            <v>501304.56</v>
          </cell>
        </row>
        <row r="862">
          <cell r="B862">
            <v>56501</v>
          </cell>
          <cell r="C862" t="str">
            <v>Street Lighting Maintenance Holdin</v>
          </cell>
          <cell r="F862">
            <v>-4204.87</v>
          </cell>
          <cell r="G862">
            <v>0</v>
          </cell>
          <cell r="H862">
            <v>-4204.87</v>
          </cell>
        </row>
        <row r="863">
          <cell r="B863">
            <v>56520</v>
          </cell>
          <cell r="C863" t="str">
            <v>Lighting Management &amp; Supp</v>
          </cell>
          <cell r="F863">
            <v>299307.81</v>
          </cell>
          <cell r="G863">
            <v>-11964.27</v>
          </cell>
          <cell r="H863">
            <v>287343.53999999998</v>
          </cell>
        </row>
        <row r="864">
          <cell r="B864">
            <v>56800</v>
          </cell>
          <cell r="C864" t="str">
            <v>Street Lighting Energy NPR</v>
          </cell>
          <cell r="F864">
            <v>321929.90999999997</v>
          </cell>
          <cell r="G864">
            <v>0</v>
          </cell>
          <cell r="H864">
            <v>321929.90999999997</v>
          </cell>
        </row>
        <row r="865">
          <cell r="B865">
            <v>57000</v>
          </cell>
          <cell r="C865" t="str">
            <v>Traffic Management - North</v>
          </cell>
          <cell r="F865">
            <v>4487.6400000000003</v>
          </cell>
          <cell r="G865">
            <v>0</v>
          </cell>
          <cell r="H865">
            <v>4487.6400000000003</v>
          </cell>
        </row>
        <row r="866">
          <cell r="B866">
            <v>57001</v>
          </cell>
          <cell r="C866" t="str">
            <v>Traffic Management - South</v>
          </cell>
          <cell r="F866">
            <v>321397.53000000003</v>
          </cell>
          <cell r="G866">
            <v>-209885.35</v>
          </cell>
          <cell r="H866">
            <v>111512.18000000002</v>
          </cell>
        </row>
        <row r="867">
          <cell r="B867">
            <v>57002</v>
          </cell>
          <cell r="C867" t="str">
            <v>Traffic Advice</v>
          </cell>
          <cell r="F867">
            <v>105041.24</v>
          </cell>
          <cell r="G867">
            <v>0</v>
          </cell>
          <cell r="H867">
            <v>105041.24</v>
          </cell>
        </row>
        <row r="868">
          <cell r="B868">
            <v>57003</v>
          </cell>
          <cell r="C868" t="str">
            <v>Traffic Management Co-ord Team</v>
          </cell>
          <cell r="F868">
            <v>307830.59000000003</v>
          </cell>
          <cell r="G868">
            <v>-50658.84</v>
          </cell>
          <cell r="H868">
            <v>257171.75000000003</v>
          </cell>
        </row>
        <row r="869">
          <cell r="B869">
            <v>57004</v>
          </cell>
          <cell r="C869" t="str">
            <v>Controlled Parking Zone Team</v>
          </cell>
          <cell r="F869">
            <v>91011.88</v>
          </cell>
          <cell r="G869">
            <v>-91011.88</v>
          </cell>
          <cell r="H869">
            <v>0</v>
          </cell>
        </row>
        <row r="870">
          <cell r="B870">
            <v>57005</v>
          </cell>
          <cell r="C870" t="str">
            <v>London Traffic Control System</v>
          </cell>
          <cell r="F870">
            <v>311668</v>
          </cell>
          <cell r="G870">
            <v>0</v>
          </cell>
          <cell r="H870">
            <v>311668</v>
          </cell>
        </row>
        <row r="871">
          <cell r="B871">
            <v>57006</v>
          </cell>
          <cell r="C871" t="str">
            <v>Temp Regulatn Orders Sec141</v>
          </cell>
          <cell r="F871">
            <v>12929.02</v>
          </cell>
          <cell r="G871">
            <v>-12929.02</v>
          </cell>
          <cell r="H871">
            <v>0</v>
          </cell>
        </row>
        <row r="872">
          <cell r="B872">
            <v>57007</v>
          </cell>
          <cell r="C872" t="str">
            <v>Temp Regultn Notices Sect142</v>
          </cell>
          <cell r="F872">
            <v>135</v>
          </cell>
          <cell r="G872">
            <v>-135</v>
          </cell>
          <cell r="H872">
            <v>0</v>
          </cell>
        </row>
        <row r="873">
          <cell r="B873">
            <v>57008</v>
          </cell>
          <cell r="C873" t="str">
            <v>Temp Waiting Restrictn Sect9</v>
          </cell>
          <cell r="F873">
            <v>155.16</v>
          </cell>
          <cell r="G873">
            <v>-155.16</v>
          </cell>
          <cell r="H873">
            <v>0</v>
          </cell>
        </row>
        <row r="874">
          <cell r="B874">
            <v>57009</v>
          </cell>
          <cell r="C874" t="str">
            <v>White Lining</v>
          </cell>
          <cell r="F874">
            <v>1065.6099999999999</v>
          </cell>
          <cell r="G874">
            <v>0</v>
          </cell>
          <cell r="H874">
            <v>1065.6099999999999</v>
          </cell>
        </row>
        <row r="875">
          <cell r="B875">
            <v>57010</v>
          </cell>
          <cell r="C875" t="str">
            <v>TFL Traffic Projects</v>
          </cell>
          <cell r="F875">
            <v>-1042.29</v>
          </cell>
          <cell r="G875">
            <v>1042.29</v>
          </cell>
          <cell r="H875">
            <v>0</v>
          </cell>
        </row>
        <row r="876">
          <cell r="B876">
            <v>57011</v>
          </cell>
          <cell r="C876" t="str">
            <v>Enforcement of Moving Traffic Cont</v>
          </cell>
          <cell r="F876">
            <v>5086.16</v>
          </cell>
          <cell r="G876">
            <v>0</v>
          </cell>
          <cell r="H876">
            <v>5086.16</v>
          </cell>
        </row>
        <row r="877">
          <cell r="B877">
            <v>57012</v>
          </cell>
          <cell r="C877" t="str">
            <v>TFLMinor Bus Works</v>
          </cell>
          <cell r="F877">
            <v>9720.6</v>
          </cell>
          <cell r="G877">
            <v>-9720.6</v>
          </cell>
          <cell r="H877">
            <v>0</v>
          </cell>
        </row>
        <row r="878">
          <cell r="B878">
            <v>57100</v>
          </cell>
          <cell r="C878" t="str">
            <v>Road Safety Management</v>
          </cell>
          <cell r="F878">
            <v>67443.820000000007</v>
          </cell>
          <cell r="G878">
            <v>0</v>
          </cell>
          <cell r="H878">
            <v>67443.820000000007</v>
          </cell>
        </row>
        <row r="879">
          <cell r="B879">
            <v>57101</v>
          </cell>
          <cell r="C879" t="str">
            <v>Cyclists Training - TfL</v>
          </cell>
          <cell r="F879">
            <v>15745.14</v>
          </cell>
          <cell r="G879">
            <v>-15745.14</v>
          </cell>
          <cell r="H879">
            <v>0</v>
          </cell>
        </row>
        <row r="880">
          <cell r="B880">
            <v>57300</v>
          </cell>
          <cell r="C880" t="str">
            <v>School Crossing Patrols</v>
          </cell>
          <cell r="F880">
            <v>212932.59</v>
          </cell>
          <cell r="G880">
            <v>0</v>
          </cell>
          <cell r="H880">
            <v>212932.59</v>
          </cell>
        </row>
        <row r="881">
          <cell r="B881">
            <v>57501</v>
          </cell>
          <cell r="C881" t="str">
            <v>On Street Parking Service</v>
          </cell>
          <cell r="F881">
            <v>3213761.13</v>
          </cell>
          <cell r="G881">
            <v>-3213761.13</v>
          </cell>
          <cell r="H881">
            <v>0</v>
          </cell>
        </row>
        <row r="882">
          <cell r="B882">
            <v>57503</v>
          </cell>
          <cell r="C882" t="str">
            <v>Parking Notice Processing</v>
          </cell>
          <cell r="F882">
            <v>23.58</v>
          </cell>
          <cell r="G882">
            <v>0</v>
          </cell>
          <cell r="H882">
            <v>23.58</v>
          </cell>
        </row>
        <row r="883">
          <cell r="B883">
            <v>57505</v>
          </cell>
          <cell r="C883" t="str">
            <v>PRA Cabinet Approved Schemes</v>
          </cell>
          <cell r="F883">
            <v>555431.76</v>
          </cell>
          <cell r="G883">
            <v>-555431.76</v>
          </cell>
          <cell r="H883">
            <v>0</v>
          </cell>
        </row>
        <row r="884">
          <cell r="B884">
            <v>57506</v>
          </cell>
          <cell r="C884" t="str">
            <v>Parking Enforcement Contract</v>
          </cell>
          <cell r="F884">
            <v>1699118.91</v>
          </cell>
          <cell r="G884">
            <v>-1699118.91</v>
          </cell>
          <cell r="H884">
            <v>0</v>
          </cell>
        </row>
        <row r="885">
          <cell r="B885">
            <v>57507</v>
          </cell>
          <cell r="C885" t="str">
            <v>Operation Scrap it</v>
          </cell>
          <cell r="F885">
            <v>76243.360000000001</v>
          </cell>
          <cell r="G885">
            <v>-76243.360000000001</v>
          </cell>
          <cell r="H885">
            <v>0</v>
          </cell>
        </row>
        <row r="886">
          <cell r="B886">
            <v>57508</v>
          </cell>
          <cell r="C886" t="str">
            <v>PRA 2006/07  Revenue Contribution</v>
          </cell>
          <cell r="F886">
            <v>0</v>
          </cell>
          <cell r="G886">
            <v>-400000</v>
          </cell>
          <cell r="H886">
            <v>-400000</v>
          </cell>
        </row>
        <row r="887">
          <cell r="B887">
            <v>57700</v>
          </cell>
          <cell r="C887" t="str">
            <v>Parking Management</v>
          </cell>
          <cell r="F887">
            <v>321928.15000000002</v>
          </cell>
          <cell r="G887">
            <v>-321928.15000000002</v>
          </cell>
          <cell r="H887">
            <v>0</v>
          </cell>
        </row>
        <row r="888">
          <cell r="B888">
            <v>57701</v>
          </cell>
          <cell r="C888" t="str">
            <v>Off Street Parking Service Team</v>
          </cell>
          <cell r="F888">
            <v>764611.76</v>
          </cell>
          <cell r="G888">
            <v>-418.89</v>
          </cell>
          <cell r="H888">
            <v>764192.87</v>
          </cell>
        </row>
        <row r="889">
          <cell r="B889">
            <v>57702</v>
          </cell>
          <cell r="C889" t="str">
            <v>Car Parking Unallocated</v>
          </cell>
          <cell r="F889">
            <v>82.32</v>
          </cell>
          <cell r="G889">
            <v>-740</v>
          </cell>
          <cell r="H889">
            <v>-657.68000000000006</v>
          </cell>
        </row>
        <row r="890">
          <cell r="B890">
            <v>57703</v>
          </cell>
          <cell r="C890" t="str">
            <v>St. Martins Approach Car Park</v>
          </cell>
          <cell r="F890">
            <v>13944.02</v>
          </cell>
          <cell r="G890">
            <v>-33288.32</v>
          </cell>
          <cell r="H890">
            <v>-19344.3</v>
          </cell>
        </row>
        <row r="891">
          <cell r="B891">
            <v>57704</v>
          </cell>
          <cell r="C891" t="str">
            <v>Long Drive Car Park</v>
          </cell>
          <cell r="F891">
            <v>6568.74</v>
          </cell>
          <cell r="G891">
            <v>-30372.13</v>
          </cell>
          <cell r="H891">
            <v>-23803.39</v>
          </cell>
        </row>
        <row r="892">
          <cell r="B892">
            <v>57705</v>
          </cell>
          <cell r="C892" t="str">
            <v>Kingsend North Car Park</v>
          </cell>
          <cell r="F892">
            <v>15801.65</v>
          </cell>
          <cell r="G892">
            <v>-26888.21</v>
          </cell>
          <cell r="H892">
            <v>-11086.56</v>
          </cell>
        </row>
        <row r="893">
          <cell r="B893">
            <v>57706</v>
          </cell>
          <cell r="C893" t="str">
            <v>Kingsend South Car Park</v>
          </cell>
          <cell r="F893">
            <v>59833.79</v>
          </cell>
          <cell r="G893">
            <v>-215720.62</v>
          </cell>
          <cell r="H893">
            <v>-155886.82999999999</v>
          </cell>
        </row>
        <row r="894">
          <cell r="B894">
            <v>57707</v>
          </cell>
          <cell r="C894" t="str">
            <v>Linden Drive Car Park</v>
          </cell>
          <cell r="F894">
            <v>8790.06</v>
          </cell>
          <cell r="G894">
            <v>-20491.57</v>
          </cell>
          <cell r="H894">
            <v>-11701.51</v>
          </cell>
        </row>
        <row r="895">
          <cell r="B895">
            <v>57708</v>
          </cell>
          <cell r="C895" t="str">
            <v>Pembroke Gdns Car Park</v>
          </cell>
          <cell r="F895">
            <v>8093.19</v>
          </cell>
          <cell r="G895">
            <v>-16687.2</v>
          </cell>
          <cell r="H895">
            <v>-8594.010000000002</v>
          </cell>
        </row>
        <row r="896">
          <cell r="B896">
            <v>57709</v>
          </cell>
          <cell r="C896" t="str">
            <v>Community Close Car Park</v>
          </cell>
          <cell r="F896">
            <v>2652.25</v>
          </cell>
          <cell r="G896">
            <v>-9250.24</v>
          </cell>
          <cell r="H896">
            <v>-6597.99</v>
          </cell>
        </row>
        <row r="897">
          <cell r="B897">
            <v>57710</v>
          </cell>
          <cell r="C897" t="str">
            <v>West Drayton Road Lorry Park</v>
          </cell>
          <cell r="F897">
            <v>2987.4</v>
          </cell>
          <cell r="G897">
            <v>-3383.47</v>
          </cell>
          <cell r="H897">
            <v>-396.06999999999971</v>
          </cell>
        </row>
        <row r="898">
          <cell r="B898">
            <v>57711</v>
          </cell>
          <cell r="C898" t="str">
            <v>Pump Lane Car Park</v>
          </cell>
          <cell r="F898">
            <v>12015.05</v>
          </cell>
          <cell r="G898">
            <v>-40446.839999999997</v>
          </cell>
          <cell r="H898">
            <v>-28431.789999999997</v>
          </cell>
        </row>
        <row r="899">
          <cell r="B899">
            <v>57712</v>
          </cell>
          <cell r="C899" t="str">
            <v>Civic Hall Car Park</v>
          </cell>
          <cell r="F899">
            <v>7779.33</v>
          </cell>
          <cell r="G899">
            <v>-43563.78</v>
          </cell>
          <cell r="H899">
            <v>-35784.449999999997</v>
          </cell>
        </row>
        <row r="900">
          <cell r="B900">
            <v>57713</v>
          </cell>
          <cell r="C900" t="str">
            <v>Hayes Pool Car Park</v>
          </cell>
          <cell r="F900">
            <v>0</v>
          </cell>
          <cell r="G900">
            <v>-6571.37</v>
          </cell>
          <cell r="H900">
            <v>-6571.37</v>
          </cell>
        </row>
        <row r="901">
          <cell r="B901">
            <v>57714</v>
          </cell>
          <cell r="C901" t="str">
            <v>Falling Lane Car Park</v>
          </cell>
          <cell r="F901">
            <v>2292.13</v>
          </cell>
          <cell r="G901">
            <v>-2735.18</v>
          </cell>
          <cell r="H901">
            <v>-443.04999999999973</v>
          </cell>
        </row>
        <row r="902">
          <cell r="B902">
            <v>57715</v>
          </cell>
          <cell r="C902" t="str">
            <v>Fairfield Road Car Park</v>
          </cell>
          <cell r="F902">
            <v>24388.720000000001</v>
          </cell>
          <cell r="G902">
            <v>-44432.5</v>
          </cell>
          <cell r="H902">
            <v>-20043.78</v>
          </cell>
        </row>
        <row r="903">
          <cell r="B903">
            <v>57716</v>
          </cell>
          <cell r="C903" t="str">
            <v>Brandville Rd W D Car Park</v>
          </cell>
          <cell r="F903">
            <v>5133.3100000000004</v>
          </cell>
          <cell r="G903">
            <v>-4180.3599999999997</v>
          </cell>
          <cell r="H903">
            <v>952.95000000000073</v>
          </cell>
        </row>
        <row r="904">
          <cell r="B904">
            <v>57717</v>
          </cell>
          <cell r="C904" t="str">
            <v>Green Lane Car Park</v>
          </cell>
          <cell r="F904">
            <v>16223.22</v>
          </cell>
          <cell r="G904">
            <v>-41370.65</v>
          </cell>
          <cell r="H904">
            <v>-25147.43</v>
          </cell>
        </row>
        <row r="905">
          <cell r="B905">
            <v>57718</v>
          </cell>
          <cell r="C905" t="str">
            <v>Oaklands Gate Car Park</v>
          </cell>
          <cell r="F905">
            <v>3981.24</v>
          </cell>
          <cell r="G905">
            <v>-7155.45</v>
          </cell>
          <cell r="H905">
            <v>-3174.21</v>
          </cell>
        </row>
        <row r="906">
          <cell r="B906">
            <v>57719</v>
          </cell>
          <cell r="C906" t="str">
            <v>Blyth Rd Hayes Car Park</v>
          </cell>
          <cell r="F906">
            <v>8472.65</v>
          </cell>
          <cell r="G906">
            <v>-18322.189999999999</v>
          </cell>
          <cell r="H906">
            <v>-9849.5399999999991</v>
          </cell>
        </row>
        <row r="907">
          <cell r="B907">
            <v>57720</v>
          </cell>
          <cell r="C907" t="str">
            <v>North View Car Park</v>
          </cell>
          <cell r="F907">
            <v>12388.66</v>
          </cell>
          <cell r="G907">
            <v>-50013.75</v>
          </cell>
          <cell r="H907">
            <v>-37625.089999999997</v>
          </cell>
        </row>
        <row r="908">
          <cell r="B908">
            <v>57721</v>
          </cell>
          <cell r="C908" t="str">
            <v>Devon Parade Car Park</v>
          </cell>
          <cell r="F908">
            <v>4851.47</v>
          </cell>
          <cell r="G908">
            <v>-16072.16</v>
          </cell>
          <cell r="H908">
            <v>-11220.689999999999</v>
          </cell>
        </row>
        <row r="909">
          <cell r="B909">
            <v>57722</v>
          </cell>
          <cell r="C909" t="str">
            <v>Devonshire Lodge Car Park</v>
          </cell>
          <cell r="F909">
            <v>26151.48</v>
          </cell>
          <cell r="G909">
            <v>-47220.42</v>
          </cell>
          <cell r="H909">
            <v>-21068.94</v>
          </cell>
        </row>
        <row r="910">
          <cell r="B910">
            <v>57723</v>
          </cell>
          <cell r="C910" t="str">
            <v>Civic Centre Car Park</v>
          </cell>
          <cell r="F910">
            <v>0</v>
          </cell>
          <cell r="G910">
            <v>-2149.11</v>
          </cell>
          <cell r="H910">
            <v>-2149.11</v>
          </cell>
        </row>
        <row r="911">
          <cell r="B911">
            <v>57724</v>
          </cell>
          <cell r="C911" t="str">
            <v>Oak Grove Car Park</v>
          </cell>
          <cell r="F911">
            <v>4440.9799999999996</v>
          </cell>
          <cell r="G911">
            <v>0</v>
          </cell>
          <cell r="H911">
            <v>4440.9799999999996</v>
          </cell>
        </row>
        <row r="912">
          <cell r="B912">
            <v>57726</v>
          </cell>
          <cell r="C912" t="str">
            <v>Long Lane Car Park</v>
          </cell>
          <cell r="F912">
            <v>4260.62</v>
          </cell>
          <cell r="G912">
            <v>-7422.22</v>
          </cell>
          <cell r="H912">
            <v>-3161.6000000000004</v>
          </cell>
        </row>
        <row r="913">
          <cell r="B913">
            <v>57900</v>
          </cell>
          <cell r="C913" t="str">
            <v>Grainges Multi Storey Car Park</v>
          </cell>
          <cell r="F913">
            <v>232804.34</v>
          </cell>
          <cell r="G913">
            <v>-879113.4</v>
          </cell>
          <cell r="H913">
            <v>-646309.06000000006</v>
          </cell>
        </row>
        <row r="914">
          <cell r="B914">
            <v>57901</v>
          </cell>
          <cell r="C914" t="str">
            <v>Cedars Multi Storey Car Park</v>
          </cell>
          <cell r="F914">
            <v>183689.38</v>
          </cell>
          <cell r="G914">
            <v>-590966.14</v>
          </cell>
          <cell r="H914">
            <v>-407276.76</v>
          </cell>
        </row>
        <row r="915">
          <cell r="B915">
            <v>58301</v>
          </cell>
          <cell r="C915" t="str">
            <v>Transportation Projects &amp; Impn</v>
          </cell>
          <cell r="F915">
            <v>377911.24</v>
          </cell>
          <cell r="G915">
            <v>-490</v>
          </cell>
          <cell r="H915">
            <v>377421.24</v>
          </cell>
        </row>
        <row r="916">
          <cell r="B916">
            <v>58304</v>
          </cell>
          <cell r="C916" t="str">
            <v>School Travel Awareness - TfL</v>
          </cell>
          <cell r="F916">
            <v>35990.85</v>
          </cell>
          <cell r="G916">
            <v>-35990.85</v>
          </cell>
          <cell r="H916">
            <v>0</v>
          </cell>
        </row>
        <row r="917">
          <cell r="B917">
            <v>58306</v>
          </cell>
          <cell r="C917" t="str">
            <v>Training Support to Boroughs - TfL</v>
          </cell>
          <cell r="F917">
            <v>3350.4</v>
          </cell>
          <cell r="G917">
            <v>-3350.4</v>
          </cell>
          <cell r="H917">
            <v>0</v>
          </cell>
        </row>
        <row r="918">
          <cell r="B918">
            <v>58307</v>
          </cell>
          <cell r="C918" t="str">
            <v>Local Implementation Plan - TfL</v>
          </cell>
          <cell r="F918">
            <v>41518.74</v>
          </cell>
          <cell r="G918">
            <v>-41518.74</v>
          </cell>
          <cell r="H918">
            <v>0</v>
          </cell>
        </row>
        <row r="919">
          <cell r="B919">
            <v>58308</v>
          </cell>
          <cell r="C919" t="str">
            <v>Ref 39a School Travel Advisers</v>
          </cell>
          <cell r="F919">
            <v>26222.77</v>
          </cell>
          <cell r="G919">
            <v>-26222.77</v>
          </cell>
          <cell r="H919">
            <v>0</v>
          </cell>
        </row>
        <row r="920">
          <cell r="B920">
            <v>58312</v>
          </cell>
          <cell r="C920" t="str">
            <v>Council Travel Plan - TfL</v>
          </cell>
          <cell r="F920">
            <v>13294</v>
          </cell>
          <cell r="G920">
            <v>-13294</v>
          </cell>
          <cell r="H920">
            <v>0</v>
          </cell>
        </row>
        <row r="921">
          <cell r="B921">
            <v>58500</v>
          </cell>
          <cell r="C921" t="str">
            <v>Highways Divi Management</v>
          </cell>
          <cell r="F921">
            <v>1586258.5</v>
          </cell>
          <cell r="G921">
            <v>-73003.38</v>
          </cell>
          <cell r="H921">
            <v>1513255.12</v>
          </cell>
        </row>
        <row r="922">
          <cell r="B922">
            <v>58501</v>
          </cell>
          <cell r="C922" t="str">
            <v>Statutory Inspections</v>
          </cell>
          <cell r="F922">
            <v>368.14</v>
          </cell>
          <cell r="G922">
            <v>-240</v>
          </cell>
          <cell r="H922">
            <v>128.13999999999999</v>
          </cell>
        </row>
        <row r="923">
          <cell r="B923">
            <v>58505</v>
          </cell>
          <cell r="C923" t="str">
            <v>Streetscene Locality Pilot</v>
          </cell>
          <cell r="F923">
            <v>105844.69</v>
          </cell>
          <cell r="G923">
            <v>414</v>
          </cell>
          <cell r="H923">
            <v>106258.69</v>
          </cell>
        </row>
        <row r="924">
          <cell r="B924">
            <v>58600</v>
          </cell>
          <cell r="C924" t="str">
            <v>Contract Administration</v>
          </cell>
          <cell r="F924">
            <v>88402.44</v>
          </cell>
          <cell r="G924">
            <v>-21.28</v>
          </cell>
          <cell r="H924">
            <v>88381.16</v>
          </cell>
        </row>
        <row r="925">
          <cell r="B925">
            <v>58603</v>
          </cell>
          <cell r="C925" t="str">
            <v>Grounds Mtce Contract</v>
          </cell>
          <cell r="F925">
            <v>3460993.63</v>
          </cell>
          <cell r="G925">
            <v>-3460993.63</v>
          </cell>
          <cell r="H925">
            <v>0</v>
          </cell>
        </row>
        <row r="926">
          <cell r="B926">
            <v>58604</v>
          </cell>
          <cell r="C926" t="str">
            <v>Grounds Mtce Management A/C</v>
          </cell>
          <cell r="F926">
            <v>385019.08</v>
          </cell>
          <cell r="G926">
            <v>-39930</v>
          </cell>
          <cell r="H926">
            <v>345089.08</v>
          </cell>
        </row>
        <row r="927">
          <cell r="B927">
            <v>58700</v>
          </cell>
          <cell r="C927" t="str">
            <v>Highways Properties Management</v>
          </cell>
          <cell r="F927">
            <v>-1396.25</v>
          </cell>
          <cell r="G927">
            <v>-82625.66</v>
          </cell>
          <cell r="H927">
            <v>-84021.91</v>
          </cell>
        </row>
        <row r="928">
          <cell r="B928">
            <v>59000</v>
          </cell>
          <cell r="C928" t="str">
            <v>Fuel On-cost Account</v>
          </cell>
          <cell r="F928">
            <v>2508.5</v>
          </cell>
          <cell r="G928">
            <v>-37622.68</v>
          </cell>
          <cell r="H928">
            <v>-35114.18</v>
          </cell>
        </row>
        <row r="929">
          <cell r="B929">
            <v>59001</v>
          </cell>
          <cell r="C929" t="str">
            <v>Fleet Management Capital Equip</v>
          </cell>
          <cell r="F929">
            <v>1566.55</v>
          </cell>
          <cell r="G929">
            <v>0</v>
          </cell>
          <cell r="H929">
            <v>1566.55</v>
          </cell>
        </row>
        <row r="930">
          <cell r="B930">
            <v>59002</v>
          </cell>
          <cell r="C930" t="str">
            <v>Fleet Management Account</v>
          </cell>
          <cell r="F930">
            <v>3094002.09</v>
          </cell>
          <cell r="G930">
            <v>-3399593.84</v>
          </cell>
          <cell r="H930">
            <v>-305591.75</v>
          </cell>
        </row>
        <row r="931">
          <cell r="B931">
            <v>59003</v>
          </cell>
          <cell r="C931" t="str">
            <v>Fleet Tracking System</v>
          </cell>
          <cell r="F931">
            <v>22402.32</v>
          </cell>
          <cell r="G931">
            <v>0</v>
          </cell>
          <cell r="H931">
            <v>22402.32</v>
          </cell>
        </row>
        <row r="932">
          <cell r="B932">
            <v>59004</v>
          </cell>
          <cell r="C932" t="str">
            <v>Vehicle Fin Leases - Interest</v>
          </cell>
          <cell r="F932">
            <v>68881.72</v>
          </cell>
          <cell r="G932">
            <v>0</v>
          </cell>
          <cell r="H932">
            <v>68881.72</v>
          </cell>
        </row>
        <row r="933">
          <cell r="B933">
            <v>59005</v>
          </cell>
          <cell r="C933" t="str">
            <v>Vehicle Fin Leases - Principal</v>
          </cell>
          <cell r="F933">
            <v>629715.84</v>
          </cell>
          <cell r="G933">
            <v>0</v>
          </cell>
          <cell r="H933">
            <v>629715.84</v>
          </cell>
        </row>
        <row r="934">
          <cell r="B934">
            <v>59050</v>
          </cell>
          <cell r="C934" t="str">
            <v>Passenger Services</v>
          </cell>
          <cell r="F934">
            <v>989.4</v>
          </cell>
          <cell r="G934">
            <v>0</v>
          </cell>
          <cell r="H934">
            <v>989.4</v>
          </cell>
        </row>
        <row r="935">
          <cell r="B935">
            <v>59051</v>
          </cell>
          <cell r="C935" t="str">
            <v>Passenger Services Overhead</v>
          </cell>
          <cell r="F935">
            <v>2617508.85</v>
          </cell>
          <cell r="G935">
            <v>-2614134.31</v>
          </cell>
          <cell r="H935">
            <v>3374.5400000000373</v>
          </cell>
        </row>
        <row r="936">
          <cell r="B936">
            <v>59054</v>
          </cell>
          <cell r="C936" t="str">
            <v>Passenger Services P/T Escorts</v>
          </cell>
          <cell r="F936">
            <v>4888.76</v>
          </cell>
          <cell r="G936">
            <v>0</v>
          </cell>
          <cell r="H936">
            <v>4888.76</v>
          </cell>
        </row>
        <row r="937">
          <cell r="B937">
            <v>59100</v>
          </cell>
          <cell r="C937" t="str">
            <v>Engineering Consultancy</v>
          </cell>
          <cell r="F937">
            <v>1224767.49</v>
          </cell>
          <cell r="G937">
            <v>-1227822.3899999999</v>
          </cell>
          <cell r="H937">
            <v>-3054.8999999999069</v>
          </cell>
        </row>
        <row r="938">
          <cell r="B938">
            <v>59101</v>
          </cell>
          <cell r="C938" t="str">
            <v>Eng Consultancy S38</v>
          </cell>
          <cell r="F938">
            <v>7711.64</v>
          </cell>
          <cell r="G938">
            <v>-7711.64</v>
          </cell>
          <cell r="H938">
            <v>0</v>
          </cell>
        </row>
        <row r="939">
          <cell r="B939">
            <v>59102</v>
          </cell>
          <cell r="C939" t="str">
            <v>Eng Consultancy S278</v>
          </cell>
          <cell r="F939">
            <v>100580.4</v>
          </cell>
          <cell r="G939">
            <v>-100580.4</v>
          </cell>
          <cell r="H939">
            <v>0</v>
          </cell>
        </row>
        <row r="940">
          <cell r="B940">
            <v>59151</v>
          </cell>
          <cell r="C940" t="str">
            <v>Harlington Road Depot</v>
          </cell>
          <cell r="F940">
            <v>395222.2</v>
          </cell>
          <cell r="G940">
            <v>-484798.82</v>
          </cell>
          <cell r="H940">
            <v>-89576.62</v>
          </cell>
        </row>
        <row r="941">
          <cell r="B941">
            <v>59250</v>
          </cell>
          <cell r="C941" t="str">
            <v>HRD Canteen</v>
          </cell>
          <cell r="F941">
            <v>97368.23</v>
          </cell>
          <cell r="G941">
            <v>-58830.39</v>
          </cell>
          <cell r="H941">
            <v>38537.839999999997</v>
          </cell>
        </row>
        <row r="942">
          <cell r="B942">
            <v>59300</v>
          </cell>
          <cell r="C942" t="str">
            <v>Highways Operations - Manage</v>
          </cell>
          <cell r="F942">
            <v>5360.31</v>
          </cell>
          <cell r="G942">
            <v>0</v>
          </cell>
          <cell r="H942">
            <v>5360.31</v>
          </cell>
        </row>
        <row r="943">
          <cell r="B943">
            <v>59301</v>
          </cell>
          <cell r="C943" t="str">
            <v>Highways Operations - Mtce</v>
          </cell>
          <cell r="F943">
            <v>2498322.48</v>
          </cell>
          <cell r="G943">
            <v>-2430941.17</v>
          </cell>
          <cell r="H943">
            <v>67381.310000000056</v>
          </cell>
        </row>
        <row r="944">
          <cell r="B944">
            <v>59302</v>
          </cell>
          <cell r="C944" t="str">
            <v>Highways Operations - Lighting</v>
          </cell>
          <cell r="F944">
            <v>879973.6</v>
          </cell>
          <cell r="G944">
            <v>-1124564.3899999999</v>
          </cell>
          <cell r="H944">
            <v>-244590.78999999992</v>
          </cell>
        </row>
        <row r="945">
          <cell r="B945">
            <v>59303</v>
          </cell>
          <cell r="C945" t="str">
            <v>Highways Operations-Winter Grit</v>
          </cell>
          <cell r="F945">
            <v>169089.33</v>
          </cell>
          <cell r="G945">
            <v>-252697.28</v>
          </cell>
          <cell r="H945">
            <v>-83607.950000000012</v>
          </cell>
        </row>
        <row r="946">
          <cell r="B946">
            <v>59350</v>
          </cell>
          <cell r="C946" t="str">
            <v>Domestic Refuse Collection</v>
          </cell>
          <cell r="F946">
            <v>2794421.47</v>
          </cell>
          <cell r="G946">
            <v>-4125</v>
          </cell>
          <cell r="H946">
            <v>2790296.47</v>
          </cell>
        </row>
        <row r="947">
          <cell r="B947">
            <v>59351</v>
          </cell>
          <cell r="C947" t="str">
            <v>Trade Waste Collection</v>
          </cell>
          <cell r="F947">
            <v>625987.64</v>
          </cell>
          <cell r="G947">
            <v>-1094488.79</v>
          </cell>
          <cell r="H947">
            <v>-468501.15</v>
          </cell>
        </row>
        <row r="948">
          <cell r="B948">
            <v>59352</v>
          </cell>
          <cell r="C948" t="str">
            <v>Recycling Service</v>
          </cell>
          <cell r="F948">
            <v>145218.74</v>
          </cell>
          <cell r="G948">
            <v>-73277.36</v>
          </cell>
          <cell r="H948">
            <v>71941.37999999999</v>
          </cell>
        </row>
        <row r="949">
          <cell r="B949">
            <v>59354</v>
          </cell>
          <cell r="C949" t="str">
            <v>Special Waste Collection</v>
          </cell>
          <cell r="F949">
            <v>131676.88</v>
          </cell>
          <cell r="G949">
            <v>-23456.09</v>
          </cell>
          <cell r="H949">
            <v>108220.79000000001</v>
          </cell>
        </row>
        <row r="950">
          <cell r="B950">
            <v>59355</v>
          </cell>
          <cell r="C950" t="str">
            <v>Waste Service - Management</v>
          </cell>
          <cell r="F950">
            <v>207908.13</v>
          </cell>
          <cell r="G950">
            <v>0</v>
          </cell>
          <cell r="H950">
            <v>207908.13</v>
          </cell>
        </row>
        <row r="951">
          <cell r="B951">
            <v>59356</v>
          </cell>
          <cell r="C951" t="str">
            <v>Kerbside Recycling</v>
          </cell>
          <cell r="F951">
            <v>2933576.5</v>
          </cell>
          <cell r="G951">
            <v>-653752.91</v>
          </cell>
          <cell r="H951">
            <v>2279823.59</v>
          </cell>
        </row>
        <row r="952">
          <cell r="B952">
            <v>59400</v>
          </cell>
          <cell r="C952" t="str">
            <v>St.Cleansing - Works</v>
          </cell>
          <cell r="F952">
            <v>2789656.82</v>
          </cell>
          <cell r="G952">
            <v>-71877.19</v>
          </cell>
          <cell r="H952">
            <v>2717779.63</v>
          </cell>
        </row>
        <row r="953">
          <cell r="B953">
            <v>59401</v>
          </cell>
          <cell r="C953" t="str">
            <v>St Cleansing - Emergency Work</v>
          </cell>
          <cell r="F953">
            <v>71437.41</v>
          </cell>
          <cell r="G953">
            <v>0</v>
          </cell>
          <cell r="H953">
            <v>71437.41</v>
          </cell>
        </row>
        <row r="954">
          <cell r="B954">
            <v>59402</v>
          </cell>
          <cell r="C954" t="str">
            <v>St. Cleansing - Grafitti Removal</v>
          </cell>
          <cell r="F954">
            <v>442516.02</v>
          </cell>
          <cell r="G954">
            <v>-2595</v>
          </cell>
          <cell r="H954">
            <v>439921.02</v>
          </cell>
        </row>
        <row r="955">
          <cell r="B955">
            <v>59431</v>
          </cell>
          <cell r="C955" t="str">
            <v>Parking Admin</v>
          </cell>
          <cell r="F955">
            <v>790143.25</v>
          </cell>
          <cell r="G955">
            <v>-790143.25</v>
          </cell>
          <cell r="H955">
            <v>0</v>
          </cell>
        </row>
        <row r="956">
          <cell r="B956">
            <v>59470</v>
          </cell>
          <cell r="C956" t="str">
            <v>Stores Overhead Account</v>
          </cell>
          <cell r="F956">
            <v>187158.39</v>
          </cell>
          <cell r="G956">
            <v>-64649.32</v>
          </cell>
          <cell r="H956">
            <v>122509.07</v>
          </cell>
        </row>
        <row r="957">
          <cell r="B957">
            <v>59500</v>
          </cell>
          <cell r="C957" t="str">
            <v>Central Support Costs</v>
          </cell>
          <cell r="F957">
            <v>3037209.21</v>
          </cell>
          <cell r="G957">
            <v>-3037209</v>
          </cell>
          <cell r="H957">
            <v>0.2099999999627471</v>
          </cell>
        </row>
        <row r="958">
          <cell r="B958">
            <v>59501</v>
          </cell>
          <cell r="C958" t="str">
            <v>CSC - Legal Costs</v>
          </cell>
          <cell r="F958">
            <v>221187.78</v>
          </cell>
          <cell r="G958">
            <v>-221187.77</v>
          </cell>
          <cell r="H958">
            <v>1.0000000009313226E-2</v>
          </cell>
        </row>
        <row r="959">
          <cell r="B959">
            <v>59510</v>
          </cell>
          <cell r="C959" t="str">
            <v>Central Support Costs (P &amp; T)</v>
          </cell>
          <cell r="F959">
            <v>1393187.87</v>
          </cell>
          <cell r="G959">
            <v>-1393188</v>
          </cell>
          <cell r="H959">
            <v>-0.12999999988824129</v>
          </cell>
        </row>
        <row r="960">
          <cell r="B960">
            <v>59511</v>
          </cell>
          <cell r="C960" t="str">
            <v>CSC - Community Services - Leisure</v>
          </cell>
          <cell r="F960">
            <v>233724</v>
          </cell>
          <cell r="G960">
            <v>-233724</v>
          </cell>
          <cell r="H960">
            <v>0</v>
          </cell>
        </row>
        <row r="961">
          <cell r="B961">
            <v>59512</v>
          </cell>
          <cell r="C961" t="str">
            <v>CSC - Community Services - Librari</v>
          </cell>
          <cell r="F961">
            <v>582079</v>
          </cell>
          <cell r="G961">
            <v>-582079</v>
          </cell>
          <cell r="H961">
            <v>0</v>
          </cell>
        </row>
        <row r="962">
          <cell r="B962">
            <v>59513</v>
          </cell>
          <cell r="C962" t="str">
            <v>CSC - Community Safety</v>
          </cell>
          <cell r="F962">
            <v>27718</v>
          </cell>
          <cell r="G962">
            <v>-27718</v>
          </cell>
          <cell r="H962">
            <v>0</v>
          </cell>
        </row>
        <row r="963">
          <cell r="B963">
            <v>59610</v>
          </cell>
          <cell r="C963" t="str">
            <v>Directorate</v>
          </cell>
          <cell r="F963">
            <v>414604.04</v>
          </cell>
          <cell r="G963">
            <v>-411179</v>
          </cell>
          <cell r="H963">
            <v>3425.039999999979</v>
          </cell>
        </row>
        <row r="964">
          <cell r="B964">
            <v>59620</v>
          </cell>
          <cell r="C964" t="str">
            <v>Directorate Support - PA's</v>
          </cell>
          <cell r="F964">
            <v>185508.15</v>
          </cell>
          <cell r="G964">
            <v>-117808</v>
          </cell>
          <cell r="H964">
            <v>67700.149999999994</v>
          </cell>
        </row>
        <row r="965">
          <cell r="B965">
            <v>59631</v>
          </cell>
          <cell r="C965" t="str">
            <v>Directorate P &amp; C</v>
          </cell>
          <cell r="F965">
            <v>230692.88</v>
          </cell>
          <cell r="G965">
            <v>-230693</v>
          </cell>
          <cell r="H965">
            <v>-0.11999999999534339</v>
          </cell>
        </row>
        <row r="966">
          <cell r="B966">
            <v>59650</v>
          </cell>
          <cell r="C966" t="str">
            <v>Business Services Unit</v>
          </cell>
          <cell r="F966">
            <v>292757.28999999998</v>
          </cell>
          <cell r="G966">
            <v>-292757</v>
          </cell>
          <cell r="H966">
            <v>0.28999999997904524</v>
          </cell>
        </row>
        <row r="967">
          <cell r="B967">
            <v>59651</v>
          </cell>
          <cell r="C967" t="str">
            <v>Severance Payments</v>
          </cell>
          <cell r="F967">
            <v>299820.89</v>
          </cell>
          <cell r="G967">
            <v>0</v>
          </cell>
          <cell r="H967">
            <v>299820.89</v>
          </cell>
        </row>
        <row r="968">
          <cell r="B968">
            <v>59652</v>
          </cell>
          <cell r="C968" t="str">
            <v>ESG Training</v>
          </cell>
          <cell r="F968">
            <v>33890</v>
          </cell>
          <cell r="G968">
            <v>-33890</v>
          </cell>
          <cell r="H968">
            <v>0</v>
          </cell>
        </row>
        <row r="969">
          <cell r="B969">
            <v>59653</v>
          </cell>
          <cell r="C969" t="str">
            <v>Homeworking associated costs</v>
          </cell>
          <cell r="F969">
            <v>15240.38</v>
          </cell>
          <cell r="G969">
            <v>0</v>
          </cell>
          <cell r="H969">
            <v>15240.38</v>
          </cell>
        </row>
        <row r="970">
          <cell r="B970">
            <v>59660</v>
          </cell>
          <cell r="C970" t="str">
            <v>Central &amp; Core ICT Sys Supp</v>
          </cell>
          <cell r="F970">
            <v>99464.45</v>
          </cell>
          <cell r="G970">
            <v>-99464</v>
          </cell>
          <cell r="H970">
            <v>0.44999999999708962</v>
          </cell>
        </row>
        <row r="971">
          <cell r="B971">
            <v>59661</v>
          </cell>
          <cell r="C971" t="str">
            <v>Client ICT Team (E&amp;T)</v>
          </cell>
          <cell r="F971">
            <v>113253.87</v>
          </cell>
          <cell r="G971">
            <v>-113254</v>
          </cell>
          <cell r="H971">
            <v>-0.13000000000465661</v>
          </cell>
        </row>
        <row r="972">
          <cell r="B972">
            <v>59670</v>
          </cell>
          <cell r="C972" t="str">
            <v>Map Research Team</v>
          </cell>
          <cell r="F972">
            <v>126094.11</v>
          </cell>
          <cell r="G972">
            <v>-126093.75999999999</v>
          </cell>
          <cell r="H972">
            <v>0.35000000000582077</v>
          </cell>
        </row>
        <row r="973">
          <cell r="B973">
            <v>59671</v>
          </cell>
          <cell r="C973" t="str">
            <v>GIS Costs</v>
          </cell>
          <cell r="F973">
            <v>127589.33</v>
          </cell>
          <cell r="G973">
            <v>-127589.75</v>
          </cell>
          <cell r="H973">
            <v>-0.41999999999825377</v>
          </cell>
        </row>
        <row r="974">
          <cell r="B974">
            <v>59672</v>
          </cell>
          <cell r="C974" t="str">
            <v>National Land &amp; Prop Gazetteer</v>
          </cell>
          <cell r="F974">
            <v>34008.97</v>
          </cell>
          <cell r="G974">
            <v>-34009</v>
          </cell>
          <cell r="H974">
            <v>-2.9999999998835847E-2</v>
          </cell>
        </row>
        <row r="975">
          <cell r="B975">
            <v>59690</v>
          </cell>
          <cell r="C975" t="str">
            <v>Chrysalis Cap Prog Management</v>
          </cell>
          <cell r="F975">
            <v>55255.199999999997</v>
          </cell>
          <cell r="G975">
            <v>-55255.199999999997</v>
          </cell>
          <cell r="H975">
            <v>0</v>
          </cell>
        </row>
        <row r="976">
          <cell r="B976">
            <v>59691</v>
          </cell>
          <cell r="C976" t="str">
            <v>Performance &amp; Quality Team</v>
          </cell>
          <cell r="F976">
            <v>272998.71000000002</v>
          </cell>
          <cell r="G976">
            <v>-232573.5</v>
          </cell>
          <cell r="H976">
            <v>40425.210000000021</v>
          </cell>
        </row>
        <row r="977">
          <cell r="B977">
            <v>59800</v>
          </cell>
          <cell r="C977" t="str">
            <v>Unallocated Budget E&amp;CP</v>
          </cell>
          <cell r="F977">
            <v>31329.87</v>
          </cell>
          <cell r="G977">
            <v>-492960.69</v>
          </cell>
          <cell r="H977">
            <v>-461630.82</v>
          </cell>
        </row>
        <row r="978">
          <cell r="B978">
            <v>60001</v>
          </cell>
          <cell r="C978" t="str">
            <v>C&amp;F Div Directors Expenses</v>
          </cell>
          <cell r="F978">
            <v>142644.74</v>
          </cell>
          <cell r="G978">
            <v>-95.77</v>
          </cell>
          <cell r="H978">
            <v>142548.97</v>
          </cell>
        </row>
        <row r="979">
          <cell r="B979">
            <v>60002</v>
          </cell>
          <cell r="C979" t="str">
            <v>C&amp;F HEAD OF SAFEGUARDING</v>
          </cell>
          <cell r="F979">
            <v>3333.85</v>
          </cell>
          <cell r="G979">
            <v>-10.89</v>
          </cell>
          <cell r="H979">
            <v>3322.96</v>
          </cell>
        </row>
        <row r="980">
          <cell r="B980">
            <v>60020</v>
          </cell>
          <cell r="C980" t="str">
            <v>C&amp;F - Training</v>
          </cell>
          <cell r="F980">
            <v>165600.26999999999</v>
          </cell>
          <cell r="G980">
            <v>-165600.26999999999</v>
          </cell>
          <cell r="H980">
            <v>0</v>
          </cell>
        </row>
        <row r="981">
          <cell r="B981">
            <v>60022</v>
          </cell>
          <cell r="C981" t="str">
            <v>QP Management Information</v>
          </cell>
          <cell r="F981">
            <v>30772.98</v>
          </cell>
          <cell r="G981">
            <v>-17.66</v>
          </cell>
          <cell r="H981">
            <v>30755.32</v>
          </cell>
        </row>
        <row r="982">
          <cell r="B982">
            <v>60023</v>
          </cell>
          <cell r="C982" t="str">
            <v>QP - Listening to Children</v>
          </cell>
          <cell r="F982">
            <v>544.27</v>
          </cell>
          <cell r="G982">
            <v>-12.43</v>
          </cell>
          <cell r="H982">
            <v>531.84</v>
          </cell>
        </row>
        <row r="983">
          <cell r="B983">
            <v>60024</v>
          </cell>
          <cell r="C983" t="str">
            <v>IRT Funding</v>
          </cell>
          <cell r="F983">
            <v>20.89</v>
          </cell>
          <cell r="G983">
            <v>0</v>
          </cell>
          <cell r="H983">
            <v>20.89</v>
          </cell>
        </row>
        <row r="984">
          <cell r="B984">
            <v>60050</v>
          </cell>
          <cell r="C984" t="str">
            <v>Children With Disabilities</v>
          </cell>
          <cell r="F984">
            <v>711420.95</v>
          </cell>
          <cell r="G984">
            <v>-1693.09</v>
          </cell>
          <cell r="H984">
            <v>709727.86</v>
          </cell>
        </row>
        <row r="985">
          <cell r="B985">
            <v>60052</v>
          </cell>
          <cell r="C985" t="str">
            <v>C &amp; F West Team</v>
          </cell>
          <cell r="F985">
            <v>11.48</v>
          </cell>
          <cell r="G985">
            <v>0</v>
          </cell>
          <cell r="H985">
            <v>11.48</v>
          </cell>
        </row>
        <row r="986">
          <cell r="B986">
            <v>60053</v>
          </cell>
          <cell r="C986" t="str">
            <v>16 Team</v>
          </cell>
          <cell r="F986">
            <v>900316.27</v>
          </cell>
          <cell r="G986">
            <v>-125253.58</v>
          </cell>
          <cell r="H986">
            <v>775062.69000000006</v>
          </cell>
        </row>
        <row r="987">
          <cell r="B987">
            <v>60054</v>
          </cell>
          <cell r="C987" t="str">
            <v>RAT/CIN Admin</v>
          </cell>
          <cell r="F987">
            <v>395490.19</v>
          </cell>
          <cell r="G987">
            <v>-575.19000000000005</v>
          </cell>
          <cell r="H987">
            <v>394915</v>
          </cell>
        </row>
        <row r="988">
          <cell r="B988">
            <v>60055</v>
          </cell>
          <cell r="C988" t="str">
            <v>C&amp;F Rat East</v>
          </cell>
          <cell r="F988">
            <v>928594.21</v>
          </cell>
          <cell r="G988">
            <v>-14887.32</v>
          </cell>
          <cell r="H988">
            <v>913706.89</v>
          </cell>
        </row>
        <row r="989">
          <cell r="B989">
            <v>60056</v>
          </cell>
          <cell r="C989" t="str">
            <v>C&amp;F Fast East</v>
          </cell>
          <cell r="F989">
            <v>692560.63</v>
          </cell>
          <cell r="G989">
            <v>-726.19</v>
          </cell>
          <cell r="H989">
            <v>691834.44000000006</v>
          </cell>
        </row>
        <row r="990">
          <cell r="B990">
            <v>60057</v>
          </cell>
          <cell r="C990" t="str">
            <v>Children in Need</v>
          </cell>
          <cell r="F990">
            <v>339413.25</v>
          </cell>
          <cell r="G990">
            <v>-654.54999999999995</v>
          </cell>
          <cell r="H990">
            <v>338758.7</v>
          </cell>
        </row>
        <row r="991">
          <cell r="B991">
            <v>60064</v>
          </cell>
          <cell r="C991" t="str">
            <v>LAC Admin</v>
          </cell>
          <cell r="F991">
            <v>360061.73</v>
          </cell>
          <cell r="G991">
            <v>-5624.22</v>
          </cell>
          <cell r="H991">
            <v>354437.51</v>
          </cell>
        </row>
        <row r="992">
          <cell r="B992">
            <v>60065</v>
          </cell>
          <cell r="C992" t="str">
            <v>C&amp;F Rat West</v>
          </cell>
          <cell r="F992">
            <v>527993.11</v>
          </cell>
          <cell r="G992">
            <v>-28067.67</v>
          </cell>
          <cell r="H992">
            <v>499925.44</v>
          </cell>
        </row>
        <row r="993">
          <cell r="B993">
            <v>60066</v>
          </cell>
          <cell r="C993" t="str">
            <v>C&amp;F Fast West</v>
          </cell>
          <cell r="F993">
            <v>706382.48</v>
          </cell>
          <cell r="G993">
            <v>-753.46</v>
          </cell>
          <cell r="H993">
            <v>705629.02</v>
          </cell>
        </row>
        <row r="994">
          <cell r="B994">
            <v>60067</v>
          </cell>
          <cell r="C994" t="str">
            <v>Looked After Children 1</v>
          </cell>
          <cell r="F994">
            <v>316869.88</v>
          </cell>
          <cell r="G994">
            <v>-575.95000000000005</v>
          </cell>
          <cell r="H994">
            <v>316293.93</v>
          </cell>
        </row>
        <row r="995">
          <cell r="B995">
            <v>60068</v>
          </cell>
          <cell r="C995" t="str">
            <v>Looked After Children 2</v>
          </cell>
          <cell r="F995">
            <v>290905</v>
          </cell>
          <cell r="G995">
            <v>-523.54999999999995</v>
          </cell>
          <cell r="H995">
            <v>290381.45</v>
          </cell>
        </row>
        <row r="996">
          <cell r="B996">
            <v>60069</v>
          </cell>
          <cell r="C996" t="str">
            <v>Specialist Commissioning Team</v>
          </cell>
          <cell r="F996">
            <v>13335.39</v>
          </cell>
          <cell r="G996">
            <v>-43.57</v>
          </cell>
          <cell r="H996">
            <v>13291.82</v>
          </cell>
        </row>
        <row r="997">
          <cell r="B997">
            <v>60100</v>
          </cell>
          <cell r="C997" t="str">
            <v>Mulberry Parade</v>
          </cell>
          <cell r="F997">
            <v>580625.54</v>
          </cell>
          <cell r="G997">
            <v>-13319.97</v>
          </cell>
          <cell r="H997">
            <v>567305.57000000007</v>
          </cell>
        </row>
        <row r="998">
          <cell r="B998">
            <v>60101</v>
          </cell>
          <cell r="C998" t="str">
            <v>Bedwell Gardens</v>
          </cell>
          <cell r="F998">
            <v>12965.36</v>
          </cell>
          <cell r="G998">
            <v>-5.55</v>
          </cell>
          <cell r="H998">
            <v>12959.810000000001</v>
          </cell>
        </row>
        <row r="999">
          <cell r="B999">
            <v>60123</v>
          </cell>
          <cell r="C999" t="str">
            <v>C&amp;F East P&amp;V Residential</v>
          </cell>
          <cell r="F999">
            <v>1966873.68</v>
          </cell>
          <cell r="G999">
            <v>-284898.82</v>
          </cell>
          <cell r="H999">
            <v>1681974.8599999999</v>
          </cell>
        </row>
        <row r="1000">
          <cell r="B1000">
            <v>60128</v>
          </cell>
          <cell r="C1000" t="str">
            <v>C&amp;F West P&amp;V Residential</v>
          </cell>
          <cell r="F1000">
            <v>1571138.44</v>
          </cell>
          <cell r="G1000">
            <v>-189385.67</v>
          </cell>
          <cell r="H1000">
            <v>1381752.77</v>
          </cell>
        </row>
        <row r="1001">
          <cell r="B1001">
            <v>60133</v>
          </cell>
          <cell r="C1001" t="str">
            <v>C&amp;F 16 plus P&amp;V Residential</v>
          </cell>
          <cell r="F1001">
            <v>1387298.96</v>
          </cell>
          <cell r="G1001">
            <v>-112239.08</v>
          </cell>
          <cell r="H1001">
            <v>1275059.8799999999</v>
          </cell>
        </row>
        <row r="1002">
          <cell r="B1002">
            <v>60138</v>
          </cell>
          <cell r="C1002" t="str">
            <v>CWD P&amp;V Residential</v>
          </cell>
          <cell r="F1002">
            <v>1600745.02</v>
          </cell>
          <cell r="G1002">
            <v>-373957.65</v>
          </cell>
          <cell r="H1002">
            <v>1226787.3700000001</v>
          </cell>
        </row>
        <row r="1003">
          <cell r="B1003">
            <v>60140</v>
          </cell>
          <cell r="C1003" t="str">
            <v>Respite - 21 Copperfield Avenue</v>
          </cell>
          <cell r="F1003">
            <v>450033.17</v>
          </cell>
          <cell r="G1003">
            <v>-144266.32</v>
          </cell>
          <cell r="H1003">
            <v>305766.84999999998</v>
          </cell>
        </row>
        <row r="1004">
          <cell r="B1004">
            <v>60141</v>
          </cell>
          <cell r="C1004" t="str">
            <v>Respite - 54, Howletts Lane</v>
          </cell>
          <cell r="F1004">
            <v>482080.13</v>
          </cell>
          <cell r="G1004">
            <v>-8286.07</v>
          </cell>
          <cell r="H1004">
            <v>473794.06</v>
          </cell>
        </row>
        <row r="1005">
          <cell r="B1005">
            <v>60160</v>
          </cell>
          <cell r="C1005" t="str">
            <v>RFPT Provider Management</v>
          </cell>
          <cell r="F1005">
            <v>477602.43</v>
          </cell>
          <cell r="G1005">
            <v>-73369.98</v>
          </cell>
          <cell r="H1005">
            <v>404232.45</v>
          </cell>
        </row>
        <row r="1006">
          <cell r="B1006">
            <v>60161</v>
          </cell>
          <cell r="C1006" t="str">
            <v>RFPT - Fostering Provider</v>
          </cell>
          <cell r="F1006">
            <v>2049570.88</v>
          </cell>
          <cell r="G1006">
            <v>-209546.25</v>
          </cell>
          <cell r="H1006">
            <v>1840024.63</v>
          </cell>
        </row>
        <row r="1007">
          <cell r="B1007">
            <v>60183</v>
          </cell>
          <cell r="C1007" t="str">
            <v>C&amp;F East P&amp;V Fostering</v>
          </cell>
          <cell r="F1007">
            <v>2636123.7400000002</v>
          </cell>
          <cell r="G1007">
            <v>-84258.79</v>
          </cell>
          <cell r="H1007">
            <v>2551864.9500000002</v>
          </cell>
        </row>
        <row r="1008">
          <cell r="B1008">
            <v>60186</v>
          </cell>
          <cell r="C1008" t="str">
            <v>C&amp;F West P&amp;V Fostering</v>
          </cell>
          <cell r="F1008">
            <v>1656877.74</v>
          </cell>
          <cell r="G1008">
            <v>-35380.339999999997</v>
          </cell>
          <cell r="H1008">
            <v>1621497.4</v>
          </cell>
        </row>
        <row r="1009">
          <cell r="B1009">
            <v>60189</v>
          </cell>
          <cell r="C1009" t="str">
            <v>C&amp;F 16 plus P&amp;V Fostering</v>
          </cell>
          <cell r="F1009">
            <v>386030.48</v>
          </cell>
          <cell r="G1009">
            <v>-97</v>
          </cell>
          <cell r="H1009">
            <v>385933.48</v>
          </cell>
        </row>
        <row r="1010">
          <cell r="B1010">
            <v>60192</v>
          </cell>
          <cell r="C1010" t="str">
            <v>C&amp;F CWD P&amp;V Fostering</v>
          </cell>
          <cell r="F1010">
            <v>135423.18</v>
          </cell>
          <cell r="G1010">
            <v>-27178.07</v>
          </cell>
          <cell r="H1010">
            <v>108245.10999999999</v>
          </cell>
        </row>
        <row r="1011">
          <cell r="B1011">
            <v>60200</v>
          </cell>
          <cell r="C1011" t="str">
            <v>C&amp;F - P&amp;V Secure Accomodation</v>
          </cell>
          <cell r="F1011">
            <v>267337.03000000003</v>
          </cell>
          <cell r="G1011">
            <v>-70.8</v>
          </cell>
          <cell r="H1011">
            <v>267266.23000000004</v>
          </cell>
        </row>
        <row r="1012">
          <cell r="B1012">
            <v>60220</v>
          </cell>
          <cell r="C1012" t="str">
            <v>MAST</v>
          </cell>
          <cell r="F1012">
            <v>512150.89</v>
          </cell>
          <cell r="G1012">
            <v>-454334.35</v>
          </cell>
          <cell r="H1012">
            <v>57816.540000000037</v>
          </cell>
        </row>
        <row r="1013">
          <cell r="B1013">
            <v>60221</v>
          </cell>
          <cell r="C1013" t="str">
            <v>C7F - CLA Associated Costs CWD</v>
          </cell>
          <cell r="F1013">
            <v>7303.47</v>
          </cell>
          <cell r="G1013">
            <v>0</v>
          </cell>
          <cell r="H1013">
            <v>7303.47</v>
          </cell>
        </row>
        <row r="1014">
          <cell r="B1014">
            <v>60222</v>
          </cell>
          <cell r="C1014" t="str">
            <v>Council for Workforce Development</v>
          </cell>
          <cell r="F1014">
            <v>7662.5</v>
          </cell>
          <cell r="G1014">
            <v>-6000</v>
          </cell>
          <cell r="H1014">
            <v>1662.5</v>
          </cell>
        </row>
        <row r="1015">
          <cell r="B1015">
            <v>60224</v>
          </cell>
          <cell r="C1015" t="str">
            <v>Looked After Children EducTeam</v>
          </cell>
          <cell r="F1015">
            <v>54750.89</v>
          </cell>
          <cell r="G1015">
            <v>-52973.29</v>
          </cell>
          <cell r="H1015">
            <v>1777.5999999999985</v>
          </cell>
        </row>
        <row r="1016">
          <cell r="B1016">
            <v>60300</v>
          </cell>
          <cell r="C1016" t="str">
            <v>NCH Abacus Centre</v>
          </cell>
          <cell r="F1016">
            <v>534206.34</v>
          </cell>
          <cell r="G1016">
            <v>-254.27</v>
          </cell>
          <cell r="H1016">
            <v>533952.06999999995</v>
          </cell>
        </row>
        <row r="1017">
          <cell r="B1017">
            <v>60323</v>
          </cell>
          <cell r="C1017" t="str">
            <v>Highgrove Playgroup</v>
          </cell>
          <cell r="F1017">
            <v>14947.62</v>
          </cell>
          <cell r="G1017">
            <v>-17.62</v>
          </cell>
          <cell r="H1017">
            <v>14930</v>
          </cell>
        </row>
        <row r="1018">
          <cell r="B1018">
            <v>60324</v>
          </cell>
          <cell r="C1018" t="str">
            <v>Disabled Childrens' Playscheme.</v>
          </cell>
          <cell r="F1018">
            <v>28683.18</v>
          </cell>
          <cell r="G1018">
            <v>-236.5</v>
          </cell>
          <cell r="H1018">
            <v>28446.68</v>
          </cell>
        </row>
        <row r="1019">
          <cell r="B1019">
            <v>60326</v>
          </cell>
          <cell r="C1019" t="str">
            <v>C&amp;F Subsidised Day Care</v>
          </cell>
          <cell r="F1019">
            <v>72050.69</v>
          </cell>
          <cell r="G1019">
            <v>-48.12</v>
          </cell>
          <cell r="H1019">
            <v>72002.570000000007</v>
          </cell>
        </row>
        <row r="1020">
          <cell r="B1020">
            <v>60327</v>
          </cell>
          <cell r="C1020" t="str">
            <v>Sure Start - C&amp;F</v>
          </cell>
          <cell r="F1020">
            <v>645524.55000000005</v>
          </cell>
          <cell r="G1020">
            <v>-622570.18999999994</v>
          </cell>
          <cell r="H1020">
            <v>22954.360000000102</v>
          </cell>
        </row>
        <row r="1021">
          <cell r="B1021">
            <v>60360</v>
          </cell>
          <cell r="C1021" t="str">
            <v>C&amp;F Direct Payments</v>
          </cell>
          <cell r="F1021">
            <v>283154.45</v>
          </cell>
          <cell r="G1021">
            <v>-44518.92</v>
          </cell>
          <cell r="H1021">
            <v>238635.53000000003</v>
          </cell>
        </row>
        <row r="1022">
          <cell r="B1022">
            <v>60400</v>
          </cell>
          <cell r="C1022" t="str">
            <v>C&amp;F CWD - Sect 17</v>
          </cell>
          <cell r="F1022">
            <v>72194.210000000006</v>
          </cell>
          <cell r="G1022">
            <v>-29.9</v>
          </cell>
          <cell r="H1022">
            <v>72164.310000000012</v>
          </cell>
        </row>
        <row r="1023">
          <cell r="B1023">
            <v>60402</v>
          </cell>
          <cell r="C1023" t="str">
            <v>C&amp;F East Team - Sect 17</v>
          </cell>
          <cell r="F1023">
            <v>318472.44</v>
          </cell>
          <cell r="G1023">
            <v>-133.85</v>
          </cell>
          <cell r="H1023">
            <v>318338.59000000003</v>
          </cell>
        </row>
        <row r="1024">
          <cell r="B1024">
            <v>60403</v>
          </cell>
          <cell r="C1024" t="str">
            <v>C&amp;F West Team - Sect 17</v>
          </cell>
          <cell r="F1024">
            <v>9769.2800000000007</v>
          </cell>
          <cell r="G1024">
            <v>0</v>
          </cell>
          <cell r="H1024">
            <v>9769.2800000000007</v>
          </cell>
        </row>
        <row r="1025">
          <cell r="B1025">
            <v>60404</v>
          </cell>
          <cell r="C1025" t="str">
            <v>C&amp;F 16 Team - Sect 17</v>
          </cell>
          <cell r="F1025">
            <v>293816.07</v>
          </cell>
          <cell r="G1025">
            <v>-139.66</v>
          </cell>
          <cell r="H1025">
            <v>293676.41000000003</v>
          </cell>
        </row>
        <row r="1026">
          <cell r="B1026">
            <v>60405</v>
          </cell>
          <cell r="C1026" t="str">
            <v>C&amp;F CLA Associated Costs West</v>
          </cell>
          <cell r="F1026">
            <v>486711.92</v>
          </cell>
          <cell r="G1026">
            <v>-97.43</v>
          </cell>
          <cell r="H1026">
            <v>486614.49</v>
          </cell>
        </row>
        <row r="1027">
          <cell r="B1027">
            <v>60406</v>
          </cell>
          <cell r="C1027" t="str">
            <v>C&amp;F CLA Associated Costs East</v>
          </cell>
          <cell r="F1027">
            <v>727</v>
          </cell>
          <cell r="G1027">
            <v>0</v>
          </cell>
          <cell r="H1027">
            <v>727</v>
          </cell>
        </row>
        <row r="1028">
          <cell r="B1028">
            <v>60407</v>
          </cell>
          <cell r="C1028" t="str">
            <v>C&amp;F Children's Fund</v>
          </cell>
          <cell r="F1028">
            <v>541679.79</v>
          </cell>
          <cell r="G1028">
            <v>-537605</v>
          </cell>
          <cell r="H1028">
            <v>4074.7900000000373</v>
          </cell>
        </row>
        <row r="1029">
          <cell r="B1029">
            <v>60408</v>
          </cell>
          <cell r="C1029" t="str">
            <v>C&amp;F Family Support Group</v>
          </cell>
          <cell r="F1029">
            <v>9590</v>
          </cell>
          <cell r="G1029">
            <v>0</v>
          </cell>
          <cell r="H1029">
            <v>9590</v>
          </cell>
        </row>
        <row r="1030">
          <cell r="B1030">
            <v>60409</v>
          </cell>
          <cell r="C1030" t="str">
            <v>C&amp;F Com Adv &amp; Supp Teams</v>
          </cell>
          <cell r="F1030">
            <v>109531.44</v>
          </cell>
          <cell r="G1030">
            <v>-50074.42</v>
          </cell>
          <cell r="H1030">
            <v>59457.020000000004</v>
          </cell>
        </row>
        <row r="1031">
          <cell r="B1031">
            <v>60410</v>
          </cell>
          <cell r="C1031" t="str">
            <v>Intensive Family Support Team</v>
          </cell>
          <cell r="F1031">
            <v>98045.9</v>
          </cell>
          <cell r="G1031">
            <v>-29184.93</v>
          </cell>
          <cell r="H1031">
            <v>68860.97</v>
          </cell>
        </row>
        <row r="1032">
          <cell r="B1032">
            <v>60411</v>
          </cell>
          <cell r="C1032" t="str">
            <v>C&amp;F Children's Deve Team</v>
          </cell>
          <cell r="F1032">
            <v>27446.43</v>
          </cell>
          <cell r="G1032">
            <v>-20918.599999999999</v>
          </cell>
          <cell r="H1032">
            <v>6527.8300000000017</v>
          </cell>
        </row>
        <row r="1033">
          <cell r="B1033">
            <v>60412</v>
          </cell>
          <cell r="C1033" t="str">
            <v>C&amp;F Outreach Service</v>
          </cell>
          <cell r="F1033">
            <v>149682.92000000001</v>
          </cell>
          <cell r="G1033">
            <v>-65805.7</v>
          </cell>
          <cell r="H1033">
            <v>83877.220000000016</v>
          </cell>
        </row>
        <row r="1034">
          <cell r="B1034">
            <v>60413</v>
          </cell>
          <cell r="C1034" t="str">
            <v>C&amp;F Community Advise and Support T</v>
          </cell>
          <cell r="F1034">
            <v>22492.29</v>
          </cell>
          <cell r="G1034">
            <v>-164.59</v>
          </cell>
          <cell r="H1034">
            <v>22327.7</v>
          </cell>
        </row>
        <row r="1035">
          <cell r="B1035">
            <v>60520</v>
          </cell>
          <cell r="C1035" t="str">
            <v>YOT - Social Work Team</v>
          </cell>
          <cell r="F1035">
            <v>186359.95</v>
          </cell>
          <cell r="G1035">
            <v>-108.58</v>
          </cell>
          <cell r="H1035">
            <v>186251.37000000002</v>
          </cell>
        </row>
        <row r="1036">
          <cell r="B1036">
            <v>60521</v>
          </cell>
          <cell r="C1036" t="str">
            <v>Youth Offending Team</v>
          </cell>
          <cell r="F1036">
            <v>667001.91</v>
          </cell>
          <cell r="G1036">
            <v>-282944.15999999997</v>
          </cell>
          <cell r="H1036">
            <v>384057.75000000006</v>
          </cell>
        </row>
        <row r="1037">
          <cell r="B1037">
            <v>60541</v>
          </cell>
          <cell r="C1037" t="str">
            <v>YJB - Formula Grant</v>
          </cell>
          <cell r="F1037">
            <v>248125.1</v>
          </cell>
          <cell r="G1037">
            <v>-207515.61</v>
          </cell>
          <cell r="H1037">
            <v>40609.49000000002</v>
          </cell>
        </row>
        <row r="1038">
          <cell r="B1038">
            <v>60545</v>
          </cell>
          <cell r="C1038" t="str">
            <v>YJB - ISSP</v>
          </cell>
          <cell r="F1038">
            <v>149040.46</v>
          </cell>
          <cell r="G1038">
            <v>-127476.81</v>
          </cell>
          <cell r="H1038">
            <v>21563.649999999994</v>
          </cell>
        </row>
        <row r="1039">
          <cell r="B1039">
            <v>60600</v>
          </cell>
          <cell r="C1039" t="str">
            <v>RFPT - Permanency Team</v>
          </cell>
          <cell r="F1039">
            <v>1341271.47</v>
          </cell>
          <cell r="G1039">
            <v>-250634.25</v>
          </cell>
          <cell r="H1039">
            <v>1090637.22</v>
          </cell>
        </row>
        <row r="1040">
          <cell r="B1040">
            <v>60641</v>
          </cell>
          <cell r="C1040" t="str">
            <v>Swakefields</v>
          </cell>
          <cell r="F1040">
            <v>99181.72</v>
          </cell>
          <cell r="G1040">
            <v>-46.95</v>
          </cell>
          <cell r="H1040">
            <v>99134.77</v>
          </cell>
        </row>
        <row r="1041">
          <cell r="B1041">
            <v>60642</v>
          </cell>
          <cell r="C1041" t="str">
            <v>Challenger House</v>
          </cell>
          <cell r="F1041">
            <v>44084</v>
          </cell>
          <cell r="G1041">
            <v>0</v>
          </cell>
          <cell r="H1041">
            <v>44084</v>
          </cell>
        </row>
        <row r="1042">
          <cell r="B1042">
            <v>60660</v>
          </cell>
          <cell r="C1042" t="str">
            <v>Child Protection</v>
          </cell>
          <cell r="F1042">
            <v>785559.02</v>
          </cell>
          <cell r="G1042">
            <v>-38572.720000000001</v>
          </cell>
          <cell r="H1042">
            <v>746986.3</v>
          </cell>
        </row>
        <row r="1043">
          <cell r="B1043">
            <v>60661</v>
          </cell>
          <cell r="C1043" t="str">
            <v>Hillingdon Area Child Protection C</v>
          </cell>
          <cell r="F1043">
            <v>22905.919999999998</v>
          </cell>
          <cell r="G1043">
            <v>-22707.5</v>
          </cell>
          <cell r="H1043">
            <v>198.41999999999825</v>
          </cell>
        </row>
        <row r="1044">
          <cell r="B1044">
            <v>60662</v>
          </cell>
          <cell r="C1044" t="str">
            <v>Child &amp; Adolescent MH CAMHS</v>
          </cell>
          <cell r="F1044">
            <v>45966.62</v>
          </cell>
          <cell r="G1044">
            <v>-32.799999999999997</v>
          </cell>
          <cell r="H1044">
            <v>45933.82</v>
          </cell>
        </row>
        <row r="1045">
          <cell r="B1045">
            <v>60664</v>
          </cell>
          <cell r="C1045" t="str">
            <v>Teenage Pregnancy Grant</v>
          </cell>
          <cell r="F1045">
            <v>196365.7</v>
          </cell>
          <cell r="G1045">
            <v>-192223.87</v>
          </cell>
          <cell r="H1045">
            <v>4141.8300000000163</v>
          </cell>
        </row>
        <row r="1046">
          <cell r="B1046">
            <v>60665</v>
          </cell>
          <cell r="C1046" t="str">
            <v>Change Fund Grant</v>
          </cell>
          <cell r="F1046">
            <v>54.02</v>
          </cell>
          <cell r="G1046">
            <v>0</v>
          </cell>
          <cell r="H1046">
            <v>54.02</v>
          </cell>
        </row>
        <row r="1047">
          <cell r="B1047">
            <v>60666</v>
          </cell>
          <cell r="C1047" t="str">
            <v>BVR Preventative Initiatives</v>
          </cell>
          <cell r="F1047">
            <v>226.1</v>
          </cell>
          <cell r="G1047">
            <v>-5.17</v>
          </cell>
          <cell r="H1047">
            <v>220.93</v>
          </cell>
        </row>
        <row r="1048">
          <cell r="B1048">
            <v>60667</v>
          </cell>
          <cell r="C1048" t="str">
            <v>Every Child Matters</v>
          </cell>
          <cell r="F1048">
            <v>2957</v>
          </cell>
          <cell r="G1048">
            <v>-67.569999999999993</v>
          </cell>
          <cell r="H1048">
            <v>2889.43</v>
          </cell>
        </row>
        <row r="1049">
          <cell r="B1049">
            <v>60668</v>
          </cell>
          <cell r="C1049" t="str">
            <v>Section 12 Index Grant</v>
          </cell>
          <cell r="F1049">
            <v>58301.9</v>
          </cell>
          <cell r="G1049">
            <v>-47108.57</v>
          </cell>
          <cell r="H1049">
            <v>11193.330000000002</v>
          </cell>
        </row>
        <row r="1050">
          <cell r="B1050">
            <v>60669</v>
          </cell>
          <cell r="C1050" t="str">
            <v>Emergency Duty Team</v>
          </cell>
          <cell r="F1050">
            <v>42942.12</v>
          </cell>
          <cell r="G1050">
            <v>-524.25</v>
          </cell>
          <cell r="H1050">
            <v>42417.87</v>
          </cell>
        </row>
        <row r="1051">
          <cell r="B1051">
            <v>60670</v>
          </cell>
          <cell r="C1051" t="str">
            <v>Domestic Violence</v>
          </cell>
          <cell r="F1051">
            <v>44552.97</v>
          </cell>
          <cell r="G1051">
            <v>-887.5</v>
          </cell>
          <cell r="H1051">
            <v>43665.47</v>
          </cell>
        </row>
        <row r="1052">
          <cell r="B1052">
            <v>61496</v>
          </cell>
          <cell r="C1052" t="str">
            <v>C&amp;F Corporate Legal Charges</v>
          </cell>
          <cell r="F1052">
            <v>910722.69</v>
          </cell>
          <cell r="G1052">
            <v>0</v>
          </cell>
          <cell r="H1052">
            <v>910722.69</v>
          </cell>
        </row>
        <row r="1053">
          <cell r="B1053">
            <v>61499</v>
          </cell>
          <cell r="C1053" t="str">
            <v>Childrens Imprest Holding Account</v>
          </cell>
          <cell r="F1053">
            <v>10651.59</v>
          </cell>
          <cell r="G1053">
            <v>-0.01</v>
          </cell>
          <cell r="H1053">
            <v>10651.58</v>
          </cell>
        </row>
        <row r="1054">
          <cell r="B1054">
            <v>61500</v>
          </cell>
          <cell r="C1054" t="str">
            <v>Asylum Seekers Team</v>
          </cell>
          <cell r="F1054">
            <v>1201150.96</v>
          </cell>
          <cell r="G1054">
            <v>-2103223.41</v>
          </cell>
          <cell r="H1054">
            <v>-902072.45000000019</v>
          </cell>
        </row>
        <row r="1055">
          <cell r="B1055">
            <v>61501</v>
          </cell>
          <cell r="C1055" t="str">
            <v>Children Asylum Team CAT</v>
          </cell>
          <cell r="F1055">
            <v>557445.74</v>
          </cell>
          <cell r="G1055">
            <v>-532121.96</v>
          </cell>
          <cell r="H1055">
            <v>25323.780000000028</v>
          </cell>
        </row>
        <row r="1056">
          <cell r="B1056">
            <v>61502</v>
          </cell>
          <cell r="C1056" t="str">
            <v>Young Persons Asylum Team(YPAT)</v>
          </cell>
          <cell r="F1056">
            <v>680910.75</v>
          </cell>
          <cell r="G1056">
            <v>-632335.91</v>
          </cell>
          <cell r="H1056">
            <v>48574.839999999967</v>
          </cell>
        </row>
        <row r="1057">
          <cell r="B1057">
            <v>61503</v>
          </cell>
          <cell r="C1057" t="str">
            <v>ASYLUM TRANSITION TEAM (ATT)</v>
          </cell>
          <cell r="F1057">
            <v>1007796.98</v>
          </cell>
          <cell r="G1057">
            <v>-964556.69</v>
          </cell>
          <cell r="H1057">
            <v>43240.290000000037</v>
          </cell>
        </row>
        <row r="1058">
          <cell r="B1058">
            <v>61504</v>
          </cell>
          <cell r="C1058" t="str">
            <v>ASYLUM INTAKE TEAM (AIT)</v>
          </cell>
          <cell r="F1058">
            <v>634985.06000000006</v>
          </cell>
          <cell r="G1058">
            <v>-610765.43000000005</v>
          </cell>
          <cell r="H1058">
            <v>24219.630000000005</v>
          </cell>
        </row>
        <row r="1059">
          <cell r="B1059">
            <v>61505</v>
          </cell>
          <cell r="C1059" t="str">
            <v>Asylum Review Team</v>
          </cell>
          <cell r="F1059">
            <v>22372.82</v>
          </cell>
          <cell r="G1059">
            <v>-22372.82</v>
          </cell>
          <cell r="H1059">
            <v>0</v>
          </cell>
        </row>
        <row r="1060">
          <cell r="B1060">
            <v>61521</v>
          </cell>
          <cell r="C1060" t="str">
            <v>UASC -  Fostering</v>
          </cell>
          <cell r="F1060">
            <v>4901477.58</v>
          </cell>
          <cell r="G1060">
            <v>-4813747.6100000003</v>
          </cell>
          <cell r="H1060">
            <v>87729.969999999739</v>
          </cell>
        </row>
        <row r="1061">
          <cell r="B1061">
            <v>61522</v>
          </cell>
          <cell r="C1061" t="str">
            <v>UASC- P&amp;V Residential</v>
          </cell>
          <cell r="F1061">
            <v>161324.88</v>
          </cell>
          <cell r="G1061">
            <v>-161112.69</v>
          </cell>
          <cell r="H1061">
            <v>212.19000000000233</v>
          </cell>
        </row>
        <row r="1062">
          <cell r="B1062">
            <v>61523</v>
          </cell>
          <cell r="C1062" t="str">
            <v>UASC Charville Lane</v>
          </cell>
          <cell r="F1062">
            <v>891524.6</v>
          </cell>
          <cell r="G1062">
            <v>-811157.14</v>
          </cell>
          <cell r="H1062">
            <v>80367.459999999963</v>
          </cell>
        </row>
        <row r="1063">
          <cell r="B1063">
            <v>61524</v>
          </cell>
          <cell r="C1063" t="str">
            <v>UASC 16/17 Children</v>
          </cell>
          <cell r="F1063">
            <v>2023429.2</v>
          </cell>
          <cell r="G1063">
            <v>-2018064.09</v>
          </cell>
          <cell r="H1063">
            <v>5365.1099999998696</v>
          </cell>
        </row>
        <row r="1064">
          <cell r="B1064">
            <v>61526</v>
          </cell>
          <cell r="C1064" t="str">
            <v>UASC 16/17 Children -16+Team</v>
          </cell>
          <cell r="F1064">
            <v>8441.7199999999993</v>
          </cell>
          <cell r="G1064">
            <v>-8208.36</v>
          </cell>
          <cell r="H1064">
            <v>233.35999999999876</v>
          </cell>
        </row>
        <row r="1065">
          <cell r="B1065">
            <v>61550</v>
          </cell>
          <cell r="C1065" t="str">
            <v>Asylum Families</v>
          </cell>
          <cell r="F1065">
            <v>52363.53</v>
          </cell>
          <cell r="G1065">
            <v>-28067.119999999999</v>
          </cell>
          <cell r="H1065">
            <v>24296.41</v>
          </cell>
        </row>
        <row r="1066">
          <cell r="B1066">
            <v>61560</v>
          </cell>
          <cell r="C1066" t="str">
            <v>Asylum Single Adults</v>
          </cell>
          <cell r="F1066">
            <v>5355.83</v>
          </cell>
          <cell r="G1066">
            <v>-38466.29</v>
          </cell>
          <cell r="H1066">
            <v>-33110.46</v>
          </cell>
        </row>
        <row r="1067">
          <cell r="B1067">
            <v>61561</v>
          </cell>
          <cell r="C1067" t="str">
            <v>NASS Children &amp; Families</v>
          </cell>
          <cell r="F1067">
            <v>52701.99</v>
          </cell>
          <cell r="G1067">
            <v>-89404.88</v>
          </cell>
          <cell r="H1067">
            <v>-36702.890000000007</v>
          </cell>
        </row>
        <row r="1068">
          <cell r="B1068">
            <v>61562</v>
          </cell>
          <cell r="C1068" t="str">
            <v>NASS Single Adults</v>
          </cell>
          <cell r="F1068">
            <v>117806.37</v>
          </cell>
          <cell r="G1068">
            <v>-45.77</v>
          </cell>
          <cell r="H1068">
            <v>117760.59999999999</v>
          </cell>
        </row>
        <row r="1069">
          <cell r="B1069">
            <v>61563</v>
          </cell>
          <cell r="C1069" t="str">
            <v>AS Adults-Judicial Review</v>
          </cell>
          <cell r="F1069">
            <v>236637.79</v>
          </cell>
          <cell r="G1069">
            <v>0</v>
          </cell>
          <cell r="H1069">
            <v>236637.79</v>
          </cell>
        </row>
        <row r="1070">
          <cell r="B1070">
            <v>61564</v>
          </cell>
          <cell r="C1070" t="str">
            <v>DFES- UASC Care Leavers</v>
          </cell>
          <cell r="F1070">
            <v>5899144.0800000001</v>
          </cell>
          <cell r="G1070">
            <v>-1610296.77</v>
          </cell>
          <cell r="H1070">
            <v>4288847.3100000005</v>
          </cell>
        </row>
        <row r="1071">
          <cell r="B1071">
            <v>61565</v>
          </cell>
          <cell r="C1071" t="str">
            <v>DFES- UASC Care Leavers-16+ TEAM</v>
          </cell>
          <cell r="F1071">
            <v>205135.29</v>
          </cell>
          <cell r="G1071">
            <v>-198731.79</v>
          </cell>
          <cell r="H1071">
            <v>6403.5</v>
          </cell>
        </row>
        <row r="1072">
          <cell r="B1072">
            <v>61570</v>
          </cell>
          <cell r="C1072" t="str">
            <v>Asylum Well Being Projects</v>
          </cell>
          <cell r="F1072">
            <v>236524.71</v>
          </cell>
          <cell r="G1072">
            <v>-229856.83</v>
          </cell>
          <cell r="H1072">
            <v>6667.8800000000047</v>
          </cell>
        </row>
        <row r="1073">
          <cell r="B1073">
            <v>61571</v>
          </cell>
          <cell r="C1073" t="str">
            <v>Asylum Supporting People</v>
          </cell>
          <cell r="F1073">
            <v>59512.77</v>
          </cell>
          <cell r="G1073">
            <v>-70003.27</v>
          </cell>
          <cell r="H1073">
            <v>-10490.500000000007</v>
          </cell>
        </row>
        <row r="1074">
          <cell r="B1074">
            <v>61600</v>
          </cell>
          <cell r="C1074" t="str">
            <v>SC: OPS Divisional Costs</v>
          </cell>
          <cell r="F1074">
            <v>215753.47</v>
          </cell>
          <cell r="G1074">
            <v>-220.71</v>
          </cell>
          <cell r="H1074">
            <v>215532.76</v>
          </cell>
        </row>
        <row r="1075">
          <cell r="B1075">
            <v>61610</v>
          </cell>
          <cell r="C1075" t="str">
            <v>SC: OPS Training</v>
          </cell>
          <cell r="F1075">
            <v>146593.21</v>
          </cell>
          <cell r="G1075">
            <v>-19068.060000000001</v>
          </cell>
          <cell r="H1075">
            <v>127525.15</v>
          </cell>
        </row>
        <row r="1076">
          <cell r="B1076">
            <v>61611</v>
          </cell>
          <cell r="C1076" t="str">
            <v>SC: OPS - Mmanager Day Cent &amp; Meal</v>
          </cell>
          <cell r="F1076">
            <v>95018.45</v>
          </cell>
          <cell r="G1076">
            <v>-588.67999999999995</v>
          </cell>
          <cell r="H1076">
            <v>94429.77</v>
          </cell>
        </row>
        <row r="1077">
          <cell r="B1077">
            <v>61612</v>
          </cell>
          <cell r="C1077" t="str">
            <v>SC: OPS Legal Costs</v>
          </cell>
          <cell r="F1077">
            <v>42459.74</v>
          </cell>
          <cell r="G1077">
            <v>-158.62</v>
          </cell>
          <cell r="H1077">
            <v>42301.119999999995</v>
          </cell>
        </row>
        <row r="1078">
          <cell r="B1078">
            <v>61624</v>
          </cell>
          <cell r="C1078" t="str">
            <v>SC: OPS Hospital Team</v>
          </cell>
          <cell r="F1078">
            <v>428738.51</v>
          </cell>
          <cell r="G1078">
            <v>-170584.58</v>
          </cell>
          <cell r="H1078">
            <v>258153.93000000002</v>
          </cell>
        </row>
        <row r="1079">
          <cell r="B1079">
            <v>61625</v>
          </cell>
          <cell r="C1079" t="str">
            <v>SC: Woodlands &amp; Mount Vernon Hosp.</v>
          </cell>
          <cell r="F1079">
            <v>345862.25</v>
          </cell>
          <cell r="G1079">
            <v>-3140.77</v>
          </cell>
          <cell r="H1079">
            <v>342721.48</v>
          </cell>
        </row>
        <row r="1080">
          <cell r="B1080">
            <v>61627</v>
          </cell>
          <cell r="C1080" t="str">
            <v>SC: OPS - A&amp;CM Service Manager</v>
          </cell>
          <cell r="F1080">
            <v>531305.15</v>
          </cell>
          <cell r="G1080">
            <v>-105512.36</v>
          </cell>
          <cell r="H1080">
            <v>425792.79000000004</v>
          </cell>
        </row>
        <row r="1081">
          <cell r="B1081">
            <v>61628</v>
          </cell>
          <cell r="C1081" t="str">
            <v>SC: Access Group Admin Team</v>
          </cell>
          <cell r="F1081">
            <v>471979.63</v>
          </cell>
          <cell r="G1081">
            <v>-5251.22</v>
          </cell>
          <cell r="H1081">
            <v>466728.41000000003</v>
          </cell>
        </row>
        <row r="1082">
          <cell r="B1082">
            <v>61629</v>
          </cell>
          <cell r="C1082" t="str">
            <v>SC: Intake Team</v>
          </cell>
          <cell r="F1082">
            <v>445995.49</v>
          </cell>
          <cell r="G1082">
            <v>-18919.68</v>
          </cell>
          <cell r="H1082">
            <v>427075.81</v>
          </cell>
        </row>
        <row r="1083">
          <cell r="B1083">
            <v>61630</v>
          </cell>
          <cell r="C1083" t="str">
            <v>SC: OPS - Intake Team Rehab</v>
          </cell>
          <cell r="F1083">
            <v>406999.09</v>
          </cell>
          <cell r="G1083">
            <v>-113026.06</v>
          </cell>
          <cell r="H1083">
            <v>293973.03000000003</v>
          </cell>
        </row>
        <row r="1084">
          <cell r="B1084">
            <v>61633</v>
          </cell>
          <cell r="C1084" t="str">
            <v>SC: Placements Team</v>
          </cell>
          <cell r="F1084">
            <v>276485.68</v>
          </cell>
          <cell r="G1084">
            <v>-151594.32999999999</v>
          </cell>
          <cell r="H1084">
            <v>124891.35</v>
          </cell>
        </row>
        <row r="1085">
          <cell r="B1085">
            <v>61634</v>
          </cell>
          <cell r="C1085" t="str">
            <v>SC: OPS - Assessment Team 1</v>
          </cell>
          <cell r="F1085">
            <v>490530.53</v>
          </cell>
          <cell r="G1085">
            <v>-4480.26</v>
          </cell>
          <cell r="H1085">
            <v>486050.27</v>
          </cell>
        </row>
        <row r="1086">
          <cell r="B1086">
            <v>61635</v>
          </cell>
          <cell r="C1086" t="str">
            <v>SC: OPS - Assessment Team 2</v>
          </cell>
          <cell r="F1086">
            <v>626645.80000000005</v>
          </cell>
          <cell r="G1086">
            <v>-9939.39</v>
          </cell>
          <cell r="H1086">
            <v>616706.41</v>
          </cell>
        </row>
        <row r="1087">
          <cell r="B1087">
            <v>61640</v>
          </cell>
          <cell r="C1087" t="str">
            <v>SC: OPS - Assessment Team 4</v>
          </cell>
          <cell r="F1087">
            <v>485</v>
          </cell>
          <cell r="G1087">
            <v>0</v>
          </cell>
          <cell r="H1087">
            <v>485</v>
          </cell>
        </row>
        <row r="1088">
          <cell r="B1088">
            <v>61643</v>
          </cell>
          <cell r="C1088" t="str">
            <v>SC: Hosp, Care Mgt &amp; Review Group</v>
          </cell>
          <cell r="F1088">
            <v>268502.26</v>
          </cell>
          <cell r="G1088">
            <v>-2669.14</v>
          </cell>
          <cell r="H1088">
            <v>265833.12</v>
          </cell>
        </row>
        <row r="1089">
          <cell r="B1089">
            <v>61644</v>
          </cell>
          <cell r="C1089" t="str">
            <v>SC: OPS - Care Management</v>
          </cell>
          <cell r="F1089">
            <v>513436.37</v>
          </cell>
          <cell r="G1089">
            <v>-4593.1899999999996</v>
          </cell>
          <cell r="H1089">
            <v>508843.18</v>
          </cell>
        </row>
        <row r="1090">
          <cell r="B1090">
            <v>61645</v>
          </cell>
          <cell r="C1090" t="str">
            <v>SC: OPS - Review</v>
          </cell>
          <cell r="F1090">
            <v>552446.47</v>
          </cell>
          <cell r="G1090">
            <v>-67980.25</v>
          </cell>
          <cell r="H1090">
            <v>484466.22</v>
          </cell>
        </row>
        <row r="1091">
          <cell r="B1091">
            <v>61660</v>
          </cell>
          <cell r="C1091" t="str">
            <v>SC: OPS P &amp; V Nursing Placements</v>
          </cell>
          <cell r="F1091">
            <v>5526497.8600000003</v>
          </cell>
          <cell r="G1091">
            <v>-2328298.83</v>
          </cell>
          <cell r="H1091">
            <v>3198199.0300000003</v>
          </cell>
        </row>
        <row r="1092">
          <cell r="B1092">
            <v>61661</v>
          </cell>
          <cell r="C1092" t="str">
            <v>SC: OPS-Lifestyle Nursing Block-Fe</v>
          </cell>
          <cell r="F1092">
            <v>571143.04</v>
          </cell>
          <cell r="G1092">
            <v>-194354.74</v>
          </cell>
          <cell r="H1092">
            <v>376788.30000000005</v>
          </cell>
        </row>
        <row r="1093">
          <cell r="B1093">
            <v>61662</v>
          </cell>
          <cell r="C1093" t="str">
            <v>SC: OPS-Lifestyle Nursing Block</v>
          </cell>
          <cell r="F1093">
            <v>2182590.27</v>
          </cell>
          <cell r="G1093">
            <v>-646864.02</v>
          </cell>
          <cell r="H1093">
            <v>1535726.25</v>
          </cell>
        </row>
        <row r="1094">
          <cell r="B1094">
            <v>61665</v>
          </cell>
          <cell r="C1094" t="str">
            <v>SC: Care UK Nursing Block</v>
          </cell>
          <cell r="F1094">
            <v>1560922.42</v>
          </cell>
          <cell r="G1094">
            <v>-917217.6</v>
          </cell>
          <cell r="H1094">
            <v>643704.81999999995</v>
          </cell>
        </row>
        <row r="1095">
          <cell r="B1095">
            <v>61710</v>
          </cell>
          <cell r="C1095" t="str">
            <v>SC: OPS-P&amp;V Intermediate Care</v>
          </cell>
          <cell r="F1095">
            <v>1065134.79</v>
          </cell>
          <cell r="G1095">
            <v>-486265.83</v>
          </cell>
          <cell r="H1095">
            <v>578868.96</v>
          </cell>
        </row>
        <row r="1096">
          <cell r="B1096">
            <v>61725</v>
          </cell>
          <cell r="C1096" t="str">
            <v>SC: OPS - Barr Lodge IC Scheme</v>
          </cell>
          <cell r="F1096">
            <v>27857.69</v>
          </cell>
          <cell r="G1096">
            <v>-2123.16</v>
          </cell>
          <cell r="H1096">
            <v>25734.53</v>
          </cell>
        </row>
        <row r="1097">
          <cell r="B1097">
            <v>61760</v>
          </cell>
          <cell r="C1097" t="str">
            <v>SC: OPS P &amp; V Residential</v>
          </cell>
          <cell r="F1097">
            <v>4289000.83</v>
          </cell>
          <cell r="G1097">
            <v>-1400223.31</v>
          </cell>
          <cell r="H1097">
            <v>2888777.52</v>
          </cell>
        </row>
        <row r="1098">
          <cell r="B1098">
            <v>61761</v>
          </cell>
          <cell r="C1098" t="str">
            <v>SC: OPS Care UK Residential Block</v>
          </cell>
          <cell r="F1098">
            <v>2730592.99</v>
          </cell>
          <cell r="G1098">
            <v>-740259.48</v>
          </cell>
          <cell r="H1098">
            <v>1990333.5100000002</v>
          </cell>
        </row>
        <row r="1099">
          <cell r="B1099">
            <v>61762</v>
          </cell>
          <cell r="C1099" t="str">
            <v>SC: OPS-Lifestyle Residential Bloc</v>
          </cell>
          <cell r="F1099">
            <v>2144604.3199999998</v>
          </cell>
          <cell r="G1099">
            <v>-625943.03</v>
          </cell>
          <cell r="H1099">
            <v>1518661.2899999998</v>
          </cell>
        </row>
        <row r="1100">
          <cell r="B1100">
            <v>61880</v>
          </cell>
          <cell r="C1100" t="str">
            <v>SC: OPS - P&amp;V Supported &amp; Other Ac</v>
          </cell>
          <cell r="F1100">
            <v>15592</v>
          </cell>
          <cell r="G1100">
            <v>0</v>
          </cell>
          <cell r="H1100">
            <v>15592</v>
          </cell>
        </row>
        <row r="1101">
          <cell r="B1101">
            <v>61900</v>
          </cell>
          <cell r="C1101" t="str">
            <v>SC: Adult Care Scheme - OPS</v>
          </cell>
          <cell r="F1101">
            <v>112832.17</v>
          </cell>
          <cell r="G1101">
            <v>-7097.38</v>
          </cell>
          <cell r="H1101">
            <v>105734.79</v>
          </cell>
        </row>
        <row r="1102">
          <cell r="B1102">
            <v>61930</v>
          </cell>
          <cell r="C1102" t="str">
            <v>SC: OPS P&amp;V Homecare North</v>
          </cell>
          <cell r="F1102">
            <v>5320988.2</v>
          </cell>
          <cell r="G1102">
            <v>-1485160.43</v>
          </cell>
          <cell r="H1102">
            <v>3835827.7700000005</v>
          </cell>
        </row>
        <row r="1103">
          <cell r="B1103">
            <v>61931</v>
          </cell>
          <cell r="C1103" t="str">
            <v>SC: OPS P&amp;V Homecare Central</v>
          </cell>
          <cell r="F1103">
            <v>58102.59</v>
          </cell>
          <cell r="G1103">
            <v>-5991.78</v>
          </cell>
          <cell r="H1103">
            <v>52110.81</v>
          </cell>
        </row>
        <row r="1104">
          <cell r="B1104">
            <v>61932</v>
          </cell>
          <cell r="C1104" t="str">
            <v>SC: OPS P&amp;V Homecare South</v>
          </cell>
          <cell r="F1104">
            <v>125598.69</v>
          </cell>
          <cell r="G1104">
            <v>-15435.78</v>
          </cell>
          <cell r="H1104">
            <v>110162.91</v>
          </cell>
        </row>
        <row r="1105">
          <cell r="B1105">
            <v>61933</v>
          </cell>
          <cell r="C1105" t="str">
            <v>SC: OPS - Community Care Projects</v>
          </cell>
          <cell r="F1105">
            <v>3110</v>
          </cell>
          <cell r="G1105">
            <v>0</v>
          </cell>
          <cell r="H1105">
            <v>3110</v>
          </cell>
        </row>
        <row r="1106">
          <cell r="B1106">
            <v>62000</v>
          </cell>
          <cell r="C1106" t="str">
            <v>SC: OPS Home Care Services</v>
          </cell>
          <cell r="F1106">
            <v>5606506.2800000003</v>
          </cell>
          <cell r="G1106">
            <v>-836630.83</v>
          </cell>
          <cell r="H1106">
            <v>4769875.45</v>
          </cell>
        </row>
        <row r="1107">
          <cell r="B1107">
            <v>62050</v>
          </cell>
          <cell r="C1107" t="str">
            <v>SC: OPS-Direct Payments</v>
          </cell>
          <cell r="F1107">
            <v>586659.89</v>
          </cell>
          <cell r="G1107">
            <v>-144055.26999999999</v>
          </cell>
          <cell r="H1107">
            <v>442604.62</v>
          </cell>
        </row>
        <row r="1108">
          <cell r="B1108">
            <v>62070</v>
          </cell>
          <cell r="C1108" t="str">
            <v>SC: OPS-P&amp;V Day Care North</v>
          </cell>
          <cell r="F1108">
            <v>7605.18</v>
          </cell>
          <cell r="G1108">
            <v>-7685.76</v>
          </cell>
          <cell r="H1108">
            <v>-80.579999999999927</v>
          </cell>
        </row>
        <row r="1109">
          <cell r="B1109">
            <v>62091</v>
          </cell>
          <cell r="C1109" t="str">
            <v>SC: Eastbury Road Day Centre</v>
          </cell>
          <cell r="F1109">
            <v>470431.54</v>
          </cell>
          <cell r="G1109">
            <v>-51237.56</v>
          </cell>
          <cell r="H1109">
            <v>419193.98</v>
          </cell>
        </row>
        <row r="1110">
          <cell r="B1110">
            <v>62092</v>
          </cell>
          <cell r="C1110" t="str">
            <v>SC: Senior Citizens Workshop</v>
          </cell>
          <cell r="F1110">
            <v>7887.03</v>
          </cell>
          <cell r="G1110">
            <v>-34.64</v>
          </cell>
          <cell r="H1110">
            <v>7852.3899999999994</v>
          </cell>
        </row>
        <row r="1111">
          <cell r="B1111">
            <v>62093</v>
          </cell>
          <cell r="C1111" t="str">
            <v>SC: Grassy Meadow Day Centre</v>
          </cell>
          <cell r="F1111">
            <v>908090.76</v>
          </cell>
          <cell r="G1111">
            <v>-80749.2</v>
          </cell>
          <cell r="H1111">
            <v>827341.56</v>
          </cell>
        </row>
        <row r="1112">
          <cell r="B1112">
            <v>62094</v>
          </cell>
          <cell r="C1112" t="str">
            <v>SC: Asha Day Centre</v>
          </cell>
          <cell r="F1112">
            <v>382625.32</v>
          </cell>
          <cell r="G1112">
            <v>-25416.58</v>
          </cell>
          <cell r="H1112">
            <v>357208.74</v>
          </cell>
        </row>
        <row r="1113">
          <cell r="B1113">
            <v>62095</v>
          </cell>
          <cell r="C1113" t="str">
            <v>SC: Poplar Farm DC</v>
          </cell>
          <cell r="F1113">
            <v>206246.7</v>
          </cell>
          <cell r="G1113">
            <v>-32630.93</v>
          </cell>
          <cell r="H1113">
            <v>173615.77000000002</v>
          </cell>
        </row>
        <row r="1114">
          <cell r="B1114">
            <v>62096</v>
          </cell>
          <cell r="C1114" t="str">
            <v>SC: Asian Carers Grant Respite</v>
          </cell>
          <cell r="F1114">
            <v>73848.69</v>
          </cell>
          <cell r="G1114">
            <v>-59293.85</v>
          </cell>
          <cell r="H1114">
            <v>14554.840000000004</v>
          </cell>
        </row>
        <row r="1115">
          <cell r="B1115">
            <v>62097</v>
          </cell>
          <cell r="C1115" t="str">
            <v>SC: Poplar Farm Saturday Service</v>
          </cell>
          <cell r="F1115">
            <v>45942.79</v>
          </cell>
          <cell r="G1115">
            <v>-37160.78</v>
          </cell>
          <cell r="H1115">
            <v>8782.010000000002</v>
          </cell>
        </row>
        <row r="1116">
          <cell r="B1116">
            <v>62140</v>
          </cell>
          <cell r="C1116" t="str">
            <v>SC: Daily Living Equipment - OPS</v>
          </cell>
          <cell r="F1116">
            <v>644186.06000000006</v>
          </cell>
          <cell r="G1116">
            <v>-236541.94</v>
          </cell>
          <cell r="H1116">
            <v>407644.12000000005</v>
          </cell>
        </row>
        <row r="1117">
          <cell r="B1117">
            <v>62160</v>
          </cell>
          <cell r="C1117" t="str">
            <v>SC: PandV Meals Service</v>
          </cell>
          <cell r="F1117">
            <v>796026.49</v>
          </cell>
          <cell r="G1117">
            <v>-380623.91</v>
          </cell>
          <cell r="H1117">
            <v>415402.58</v>
          </cell>
        </row>
        <row r="1118">
          <cell r="B1118">
            <v>62180</v>
          </cell>
          <cell r="C1118" t="str">
            <v>SC: Dining Centres - General</v>
          </cell>
          <cell r="F1118">
            <v>136232.25</v>
          </cell>
          <cell r="G1118">
            <v>-9337.85</v>
          </cell>
          <cell r="H1118">
            <v>126894.39999999999</v>
          </cell>
        </row>
        <row r="1119">
          <cell r="B1119">
            <v>62182</v>
          </cell>
          <cell r="C1119" t="str">
            <v>SC: Meals in the home</v>
          </cell>
          <cell r="F1119">
            <v>29.6</v>
          </cell>
          <cell r="G1119">
            <v>0</v>
          </cell>
          <cell r="H1119">
            <v>29.6</v>
          </cell>
        </row>
        <row r="1120">
          <cell r="B1120">
            <v>62183</v>
          </cell>
          <cell r="C1120" t="str">
            <v>SC: Grassy Meadow Kitchen</v>
          </cell>
          <cell r="F1120">
            <v>16769.66</v>
          </cell>
          <cell r="G1120">
            <v>-49.67</v>
          </cell>
          <cell r="H1120">
            <v>16719.990000000002</v>
          </cell>
        </row>
        <row r="1121">
          <cell r="B1121">
            <v>62184</v>
          </cell>
          <cell r="C1121" t="str">
            <v>SC: Ascott Court Kitchen</v>
          </cell>
          <cell r="F1121">
            <v>8089.8</v>
          </cell>
          <cell r="G1121">
            <v>-30.26</v>
          </cell>
          <cell r="H1121">
            <v>8059.54</v>
          </cell>
        </row>
        <row r="1122">
          <cell r="B1122">
            <v>62230</v>
          </cell>
          <cell r="C1122" t="str">
            <v>SC: Client Services</v>
          </cell>
          <cell r="F1122">
            <v>35664.29</v>
          </cell>
          <cell r="G1122">
            <v>-112.28</v>
          </cell>
          <cell r="H1122">
            <v>35552.01</v>
          </cell>
        </row>
        <row r="1123">
          <cell r="B1123">
            <v>62231</v>
          </cell>
          <cell r="C1123" t="str">
            <v>SC: Grants to Voluntary Organisati</v>
          </cell>
          <cell r="F1123">
            <v>944761.94</v>
          </cell>
          <cell r="G1123">
            <v>-185.32</v>
          </cell>
          <cell r="H1123">
            <v>944576.62</v>
          </cell>
        </row>
        <row r="1124">
          <cell r="B1124">
            <v>62232</v>
          </cell>
          <cell r="C1124" t="str">
            <v>SC: Delayed Discharge Grant</v>
          </cell>
          <cell r="F1124">
            <v>119864.83</v>
          </cell>
          <cell r="G1124">
            <v>-85529.43</v>
          </cell>
          <cell r="H1124">
            <v>34335.400000000009</v>
          </cell>
        </row>
        <row r="1125">
          <cell r="B1125">
            <v>62800</v>
          </cell>
          <cell r="C1125" t="str">
            <v>SD: PPSD-Div Management Costs</v>
          </cell>
          <cell r="F1125">
            <v>155828.45000000001</v>
          </cell>
          <cell r="G1125">
            <v>-4318.08</v>
          </cell>
          <cell r="H1125">
            <v>151510.37000000002</v>
          </cell>
        </row>
        <row r="1126">
          <cell r="B1126">
            <v>62811</v>
          </cell>
          <cell r="C1126" t="str">
            <v>SD: PPSD Legal Costs</v>
          </cell>
          <cell r="F1126">
            <v>10363.65</v>
          </cell>
          <cell r="G1126">
            <v>-38.53</v>
          </cell>
          <cell r="H1126">
            <v>10325.119999999999</v>
          </cell>
        </row>
        <row r="1127">
          <cell r="B1127">
            <v>62822</v>
          </cell>
          <cell r="C1127" t="str">
            <v>SD: PPSD - Service Manager</v>
          </cell>
          <cell r="F1127">
            <v>196737.29</v>
          </cell>
          <cell r="G1127">
            <v>-2848.19</v>
          </cell>
          <cell r="H1127">
            <v>193889.1</v>
          </cell>
        </row>
        <row r="1128">
          <cell r="B1128">
            <v>62823</v>
          </cell>
          <cell r="C1128" t="str">
            <v>SD: PPSD - Team Manager &amp; Admin</v>
          </cell>
          <cell r="F1128">
            <v>240605.2</v>
          </cell>
          <cell r="G1128">
            <v>-3181.32</v>
          </cell>
          <cell r="H1128">
            <v>237423.88</v>
          </cell>
        </row>
        <row r="1129">
          <cell r="B1129">
            <v>62824</v>
          </cell>
          <cell r="C1129" t="str">
            <v>SD: PPSD - Assessment Team</v>
          </cell>
          <cell r="F1129">
            <v>465332.36</v>
          </cell>
          <cell r="G1129">
            <v>-38894.28</v>
          </cell>
          <cell r="H1129">
            <v>426438.07999999996</v>
          </cell>
        </row>
        <row r="1130">
          <cell r="B1130">
            <v>62825</v>
          </cell>
          <cell r="C1130" t="str">
            <v>SD: PPSD - Care Management &amp; Revie</v>
          </cell>
          <cell r="F1130">
            <v>385473.78</v>
          </cell>
          <cell r="G1130">
            <v>-16078.08</v>
          </cell>
          <cell r="H1130">
            <v>369395.7</v>
          </cell>
        </row>
        <row r="1131">
          <cell r="B1131">
            <v>62826</v>
          </cell>
          <cell r="C1131" t="str">
            <v>SD: PPSD - Sensory Team</v>
          </cell>
          <cell r="F1131">
            <v>297221.67</v>
          </cell>
          <cell r="G1131">
            <v>-70165.31</v>
          </cell>
          <cell r="H1131">
            <v>227056.36</v>
          </cell>
        </row>
        <row r="1132">
          <cell r="B1132">
            <v>62850</v>
          </cell>
          <cell r="C1132" t="str">
            <v>SD: PPSD-P&amp;V Nursing</v>
          </cell>
          <cell r="F1132">
            <v>1160299.8400000001</v>
          </cell>
          <cell r="G1132">
            <v>-327399.74</v>
          </cell>
          <cell r="H1132">
            <v>832900.10000000009</v>
          </cell>
        </row>
        <row r="1133">
          <cell r="B1133">
            <v>62870</v>
          </cell>
          <cell r="C1133" t="str">
            <v>SD: PPSD P &amp; V Residential</v>
          </cell>
          <cell r="F1133">
            <v>2199376.5499999998</v>
          </cell>
          <cell r="G1133">
            <v>-331918.09000000003</v>
          </cell>
          <cell r="H1133">
            <v>1867458.4599999997</v>
          </cell>
        </row>
        <row r="1134">
          <cell r="B1134">
            <v>62980</v>
          </cell>
          <cell r="C1134" t="str">
            <v>SD: PPSD - P&amp;V Homecare</v>
          </cell>
          <cell r="F1134">
            <v>2509510.4900000002</v>
          </cell>
          <cell r="G1134">
            <v>-533276.34</v>
          </cell>
          <cell r="H1134">
            <v>1976234.1500000004</v>
          </cell>
        </row>
        <row r="1135">
          <cell r="B1135">
            <v>63030</v>
          </cell>
          <cell r="C1135" t="str">
            <v>SD: PPSD - Direct Payments</v>
          </cell>
          <cell r="F1135">
            <v>1641816.87</v>
          </cell>
          <cell r="G1135">
            <v>-180118.04</v>
          </cell>
          <cell r="H1135">
            <v>1461698.83</v>
          </cell>
        </row>
        <row r="1136">
          <cell r="B1136">
            <v>63070</v>
          </cell>
          <cell r="C1136" t="str">
            <v>SD: PPSD Priv &amp; Vol Day Care</v>
          </cell>
          <cell r="F1136">
            <v>331513.3</v>
          </cell>
          <cell r="G1136">
            <v>-22214.49</v>
          </cell>
          <cell r="H1136">
            <v>309298.81</v>
          </cell>
        </row>
        <row r="1137">
          <cell r="B1137">
            <v>63100</v>
          </cell>
          <cell r="C1137" t="str">
            <v>SD: BIG</v>
          </cell>
          <cell r="F1137">
            <v>144266.82</v>
          </cell>
          <cell r="G1137">
            <v>-6032.82</v>
          </cell>
          <cell r="H1137">
            <v>138234</v>
          </cell>
        </row>
        <row r="1138">
          <cell r="B1138">
            <v>63120</v>
          </cell>
          <cell r="C1138" t="str">
            <v>SD: PPSD - Daily Living Equipment</v>
          </cell>
          <cell r="F1138">
            <v>444492.26</v>
          </cell>
          <cell r="G1138">
            <v>-165466.84</v>
          </cell>
          <cell r="H1138">
            <v>279025.42000000004</v>
          </cell>
        </row>
        <row r="1139">
          <cell r="B1139">
            <v>63400</v>
          </cell>
          <cell r="C1139" t="str">
            <v>SE: PLD Head of Service</v>
          </cell>
          <cell r="F1139">
            <v>405483.15</v>
          </cell>
          <cell r="G1139">
            <v>-69198.36</v>
          </cell>
          <cell r="H1139">
            <v>336284.79000000004</v>
          </cell>
        </row>
        <row r="1140">
          <cell r="B1140">
            <v>63401</v>
          </cell>
          <cell r="C1140" t="str">
            <v>SE: PLD Modernisation Projects</v>
          </cell>
          <cell r="F1140">
            <v>185467.03</v>
          </cell>
          <cell r="G1140">
            <v>-2059.4299999999998</v>
          </cell>
          <cell r="H1140">
            <v>183407.6</v>
          </cell>
        </row>
        <row r="1141">
          <cell r="B1141">
            <v>63420</v>
          </cell>
          <cell r="C1141" t="str">
            <v>SE: CTPLD - Assessment &amp; Care Mana</v>
          </cell>
          <cell r="F1141">
            <v>1347818.64</v>
          </cell>
          <cell r="G1141">
            <v>-679582.75</v>
          </cell>
          <cell r="H1141">
            <v>668235.8899999999</v>
          </cell>
        </row>
        <row r="1142">
          <cell r="B1142">
            <v>63421</v>
          </cell>
          <cell r="C1142" t="str">
            <v>SE: Dual Diagnosis</v>
          </cell>
          <cell r="F1142">
            <v>27992.05</v>
          </cell>
          <cell r="G1142">
            <v>-207.77</v>
          </cell>
          <cell r="H1142">
            <v>27784.28</v>
          </cell>
        </row>
        <row r="1143">
          <cell r="B1143">
            <v>63450</v>
          </cell>
          <cell r="C1143" t="str">
            <v>SE: PLD-P&amp;V Nursing</v>
          </cell>
          <cell r="F1143">
            <v>61091.28</v>
          </cell>
          <cell r="G1143">
            <v>-5461.23</v>
          </cell>
          <cell r="H1143">
            <v>55630.05</v>
          </cell>
        </row>
        <row r="1144">
          <cell r="B1144">
            <v>63451</v>
          </cell>
          <cell r="C1144" t="str">
            <v>SE: CTPLD Nursing Health Funded</v>
          </cell>
          <cell r="F1144">
            <v>209902.54</v>
          </cell>
          <cell r="G1144">
            <v>-240212.04</v>
          </cell>
          <cell r="H1144">
            <v>-30309.5</v>
          </cell>
        </row>
        <row r="1145">
          <cell r="B1145">
            <v>63510</v>
          </cell>
          <cell r="C1145" t="str">
            <v>SE: PLD - P&amp;V Residential</v>
          </cell>
          <cell r="F1145">
            <v>8766982.9100000001</v>
          </cell>
          <cell r="G1145">
            <v>-2501351.29</v>
          </cell>
          <cell r="H1145">
            <v>6265631.6200000001</v>
          </cell>
        </row>
        <row r="1146">
          <cell r="B1146">
            <v>63511</v>
          </cell>
          <cell r="C1146" t="str">
            <v>SE: PLD P &amp; V Residential Health F</v>
          </cell>
          <cell r="F1146">
            <v>5688829.6500000004</v>
          </cell>
          <cell r="G1146">
            <v>-5338937.6100000003</v>
          </cell>
          <cell r="H1146">
            <v>349892.04000000004</v>
          </cell>
        </row>
        <row r="1147">
          <cell r="B1147">
            <v>63540</v>
          </cell>
          <cell r="C1147" t="str">
            <v>SE: Chapel Lane</v>
          </cell>
          <cell r="F1147">
            <v>264061.96000000002</v>
          </cell>
          <cell r="G1147">
            <v>-94301.119999999995</v>
          </cell>
          <cell r="H1147">
            <v>169760.84000000003</v>
          </cell>
        </row>
        <row r="1148">
          <cell r="B1148">
            <v>63541</v>
          </cell>
          <cell r="C1148" t="str">
            <v>SE: Bourne Lodge</v>
          </cell>
          <cell r="F1148">
            <v>852483.03</v>
          </cell>
          <cell r="G1148">
            <v>-296454.44</v>
          </cell>
          <cell r="H1148">
            <v>556028.59000000008</v>
          </cell>
        </row>
        <row r="1149">
          <cell r="B1149">
            <v>63542</v>
          </cell>
          <cell r="C1149" t="str">
            <v>SE: Charles Curran House</v>
          </cell>
          <cell r="F1149">
            <v>1073367.5</v>
          </cell>
          <cell r="G1149">
            <v>-297134.26</v>
          </cell>
          <cell r="H1149">
            <v>776233.24</v>
          </cell>
        </row>
        <row r="1150">
          <cell r="B1150">
            <v>63543</v>
          </cell>
          <cell r="C1150" t="str">
            <v>SE: Out of Hours Support Team</v>
          </cell>
          <cell r="F1150">
            <v>2853.07</v>
          </cell>
          <cell r="G1150">
            <v>-24.05</v>
          </cell>
          <cell r="H1150">
            <v>2829.02</v>
          </cell>
        </row>
        <row r="1151">
          <cell r="B1151">
            <v>63544</v>
          </cell>
          <cell r="C1151" t="str">
            <v>SE: Merrimans House</v>
          </cell>
          <cell r="F1151">
            <v>350073.14</v>
          </cell>
          <cell r="G1151">
            <v>-48542.879999999997</v>
          </cell>
          <cell r="H1151">
            <v>301530.26</v>
          </cell>
        </row>
        <row r="1152">
          <cell r="B1152">
            <v>63545</v>
          </cell>
          <cell r="C1152" t="str">
            <v>SE: Hatton Grove</v>
          </cell>
          <cell r="F1152">
            <v>1097546.04</v>
          </cell>
          <cell r="G1152">
            <v>-591764.51</v>
          </cell>
          <cell r="H1152">
            <v>505781.53</v>
          </cell>
        </row>
        <row r="1153">
          <cell r="B1153">
            <v>63546</v>
          </cell>
          <cell r="C1153" t="str">
            <v>SE: 3 Colham Road</v>
          </cell>
          <cell r="F1153">
            <v>1036513.26</v>
          </cell>
          <cell r="G1153">
            <v>-1013550.88</v>
          </cell>
          <cell r="H1153">
            <v>22962.380000000005</v>
          </cell>
        </row>
        <row r="1154">
          <cell r="B1154">
            <v>63547</v>
          </cell>
          <cell r="C1154" t="str">
            <v>Positive Behaviour Support Team</v>
          </cell>
          <cell r="F1154">
            <v>475149.82</v>
          </cell>
          <cell r="G1154">
            <v>-299618.95</v>
          </cell>
          <cell r="H1154">
            <v>175530.87</v>
          </cell>
        </row>
        <row r="1155">
          <cell r="B1155">
            <v>63600</v>
          </cell>
          <cell r="C1155" t="str">
            <v>SE: PLD - P&amp;V Supported Accom</v>
          </cell>
          <cell r="F1155">
            <v>929057.92</v>
          </cell>
          <cell r="G1155">
            <v>-230489.3</v>
          </cell>
          <cell r="H1155">
            <v>698568.62000000011</v>
          </cell>
        </row>
        <row r="1156">
          <cell r="B1156">
            <v>63630</v>
          </cell>
          <cell r="C1156" t="str">
            <v>SE: CTPLD - Adult Care Scheme</v>
          </cell>
          <cell r="F1156">
            <v>357397.93</v>
          </cell>
          <cell r="G1156">
            <v>-139818.41</v>
          </cell>
          <cell r="H1156">
            <v>217579.51999999999</v>
          </cell>
        </row>
        <row r="1157">
          <cell r="B1157">
            <v>63631</v>
          </cell>
          <cell r="C1157" t="str">
            <v>SE: 8 Newhaven Close</v>
          </cell>
          <cell r="F1157">
            <v>4773.21</v>
          </cell>
          <cell r="G1157">
            <v>-5723.83</v>
          </cell>
          <cell r="H1157">
            <v>-950.61999999999989</v>
          </cell>
        </row>
        <row r="1158">
          <cell r="B1158">
            <v>63632</v>
          </cell>
          <cell r="C1158" t="str">
            <v>SE: 9 Petworth Gardens</v>
          </cell>
          <cell r="F1158">
            <v>18583.23</v>
          </cell>
          <cell r="G1158">
            <v>-34691.089999999997</v>
          </cell>
          <cell r="H1158">
            <v>-16107.859999999997</v>
          </cell>
        </row>
        <row r="1159">
          <cell r="B1159">
            <v>63633</v>
          </cell>
          <cell r="C1159" t="str">
            <v>SE: Standale Grove</v>
          </cell>
          <cell r="F1159">
            <v>196196.05</v>
          </cell>
          <cell r="G1159">
            <v>-138124.04</v>
          </cell>
          <cell r="H1159">
            <v>58072.00999999998</v>
          </cell>
        </row>
        <row r="1160">
          <cell r="B1160">
            <v>63634</v>
          </cell>
          <cell r="C1160" t="str">
            <v>SE: Swakeley's Road</v>
          </cell>
          <cell r="F1160">
            <v>211750.83</v>
          </cell>
          <cell r="G1160">
            <v>-162346.25</v>
          </cell>
          <cell r="H1160">
            <v>49404.579999999987</v>
          </cell>
        </row>
        <row r="1161">
          <cell r="B1161">
            <v>63635</v>
          </cell>
          <cell r="C1161" t="str">
            <v>SE: Hobart Lane</v>
          </cell>
          <cell r="F1161">
            <v>206984.58</v>
          </cell>
          <cell r="G1161">
            <v>-147209.69</v>
          </cell>
          <cell r="H1161">
            <v>59774.889999999985</v>
          </cell>
        </row>
        <row r="1162">
          <cell r="B1162">
            <v>63636</v>
          </cell>
          <cell r="C1162" t="str">
            <v>SE: The Beeches</v>
          </cell>
          <cell r="F1162">
            <v>164422.76</v>
          </cell>
          <cell r="G1162">
            <v>-123712.7</v>
          </cell>
          <cell r="H1162">
            <v>40710.060000000012</v>
          </cell>
        </row>
        <row r="1163">
          <cell r="B1163">
            <v>63637</v>
          </cell>
          <cell r="C1163" t="str">
            <v>SE: Goshawk Gardens</v>
          </cell>
          <cell r="F1163">
            <v>176199.02</v>
          </cell>
          <cell r="G1163">
            <v>-71406.990000000005</v>
          </cell>
          <cell r="H1163">
            <v>104792.02999999998</v>
          </cell>
        </row>
        <row r="1164">
          <cell r="B1164">
            <v>63638</v>
          </cell>
          <cell r="C1164" t="str">
            <v>SE: 71 Marshall Drive</v>
          </cell>
          <cell r="F1164">
            <v>11095.53</v>
          </cell>
          <cell r="G1164">
            <v>-9230.42</v>
          </cell>
          <cell r="H1164">
            <v>1865.1100000000006</v>
          </cell>
        </row>
        <row r="1165">
          <cell r="B1165">
            <v>63700</v>
          </cell>
          <cell r="C1165" t="str">
            <v>SE: PLD - P&amp;V Homecare</v>
          </cell>
          <cell r="F1165">
            <v>398633.2</v>
          </cell>
          <cell r="G1165">
            <v>-10913.69</v>
          </cell>
          <cell r="H1165">
            <v>387719.51</v>
          </cell>
        </row>
        <row r="1166">
          <cell r="B1166">
            <v>63740</v>
          </cell>
          <cell r="C1166" t="str">
            <v>SE: CTPLD - Direct Payments</v>
          </cell>
          <cell r="F1166">
            <v>155503.28</v>
          </cell>
          <cell r="G1166">
            <v>-4938.79</v>
          </cell>
          <cell r="H1166">
            <v>150564.49</v>
          </cell>
        </row>
        <row r="1167">
          <cell r="B1167">
            <v>63760</v>
          </cell>
          <cell r="C1167" t="str">
            <v>SE: PLD - P&amp;V Day Care</v>
          </cell>
          <cell r="F1167">
            <v>832705.18</v>
          </cell>
          <cell r="G1167">
            <v>-3116.06</v>
          </cell>
          <cell r="H1167">
            <v>829589.12</v>
          </cell>
        </row>
        <row r="1168">
          <cell r="B1168">
            <v>63780</v>
          </cell>
          <cell r="C1168" t="str">
            <v>SE: Honeycroft Centre</v>
          </cell>
          <cell r="F1168">
            <v>567876.31000000006</v>
          </cell>
          <cell r="G1168">
            <v>-159376.29</v>
          </cell>
          <cell r="H1168">
            <v>408500.02</v>
          </cell>
        </row>
        <row r="1169">
          <cell r="B1169">
            <v>63781</v>
          </cell>
          <cell r="C1169" t="str">
            <v>SE: Parkview Day Centre</v>
          </cell>
          <cell r="F1169">
            <v>503317.44</v>
          </cell>
          <cell r="G1169">
            <v>-142824.49</v>
          </cell>
          <cell r="H1169">
            <v>360492.95</v>
          </cell>
        </row>
        <row r="1170">
          <cell r="B1170">
            <v>63782</v>
          </cell>
          <cell r="C1170" t="str">
            <v>SE: Phoenix Day Centre</v>
          </cell>
          <cell r="F1170">
            <v>383443.12</v>
          </cell>
          <cell r="G1170">
            <v>-48887.05</v>
          </cell>
          <cell r="H1170">
            <v>334556.07</v>
          </cell>
        </row>
        <row r="1171">
          <cell r="B1171">
            <v>63783</v>
          </cell>
          <cell r="C1171" t="str">
            <v>SE: Day Services Transport</v>
          </cell>
          <cell r="F1171">
            <v>859442.44</v>
          </cell>
          <cell r="G1171">
            <v>-3222.55</v>
          </cell>
          <cell r="H1171">
            <v>856219.8899999999</v>
          </cell>
        </row>
        <row r="1172">
          <cell r="B1172">
            <v>63784</v>
          </cell>
          <cell r="C1172" t="str">
            <v>SE: Woodside Day Centre</v>
          </cell>
          <cell r="F1172">
            <v>390473.7</v>
          </cell>
          <cell r="G1172">
            <v>-46924.81</v>
          </cell>
          <cell r="H1172">
            <v>343548.89</v>
          </cell>
        </row>
        <row r="1173">
          <cell r="B1173">
            <v>63785</v>
          </cell>
          <cell r="C1173" t="str">
            <v>SE: Challenging Behaviour Unit</v>
          </cell>
          <cell r="F1173">
            <v>97513.78</v>
          </cell>
          <cell r="G1173">
            <v>-38912.44</v>
          </cell>
          <cell r="H1173">
            <v>58601.34</v>
          </cell>
        </row>
        <row r="1174">
          <cell r="B1174">
            <v>63786</v>
          </cell>
          <cell r="C1174" t="str">
            <v>SE: Coaxden Day Centre</v>
          </cell>
          <cell r="F1174">
            <v>191925.59</v>
          </cell>
          <cell r="G1174">
            <v>-165028.14000000001</v>
          </cell>
          <cell r="H1174">
            <v>26897.449999999983</v>
          </cell>
        </row>
        <row r="1175">
          <cell r="B1175">
            <v>64310</v>
          </cell>
          <cell r="C1175" t="str">
            <v>PLD - Training</v>
          </cell>
          <cell r="F1175">
            <v>146746.84</v>
          </cell>
          <cell r="G1175">
            <v>-146746.84</v>
          </cell>
          <cell r="H1175">
            <v>0</v>
          </cell>
        </row>
        <row r="1176">
          <cell r="B1176">
            <v>64311</v>
          </cell>
          <cell r="C1176" t="str">
            <v>PLD - Learning Disability Developm</v>
          </cell>
          <cell r="F1176">
            <v>129151.08</v>
          </cell>
          <cell r="G1176">
            <v>-94920.46</v>
          </cell>
          <cell r="H1176">
            <v>34230.619999999995</v>
          </cell>
        </row>
        <row r="1177">
          <cell r="B1177">
            <v>64312</v>
          </cell>
          <cell r="C1177" t="str">
            <v>SE: PLD Legal Costs</v>
          </cell>
          <cell r="F1177">
            <v>15304.45</v>
          </cell>
          <cell r="G1177">
            <v>-56.87</v>
          </cell>
          <cell r="H1177">
            <v>15247.58</v>
          </cell>
        </row>
        <row r="1178">
          <cell r="B1178">
            <v>64400</v>
          </cell>
          <cell r="C1178" t="str">
            <v>SF: MH Service Manager</v>
          </cell>
          <cell r="F1178">
            <v>129137.55</v>
          </cell>
          <cell r="G1178">
            <v>-952.15</v>
          </cell>
          <cell r="H1178">
            <v>128185.40000000001</v>
          </cell>
        </row>
        <row r="1179">
          <cell r="B1179">
            <v>64410</v>
          </cell>
          <cell r="C1179" t="str">
            <v>SF: MH - Training</v>
          </cell>
          <cell r="F1179">
            <v>44348.41</v>
          </cell>
          <cell r="G1179">
            <v>-44348.41</v>
          </cell>
          <cell r="H1179">
            <v>0</v>
          </cell>
        </row>
        <row r="1180">
          <cell r="B1180">
            <v>64411</v>
          </cell>
          <cell r="C1180" t="str">
            <v>SF: MH Legal Costs</v>
          </cell>
          <cell r="F1180">
            <v>31799.759999999998</v>
          </cell>
          <cell r="G1180">
            <v>-118.11</v>
          </cell>
          <cell r="H1180">
            <v>31681.649999999998</v>
          </cell>
        </row>
        <row r="1181">
          <cell r="B1181">
            <v>64430</v>
          </cell>
          <cell r="C1181" t="str">
            <v>SF: MH - Ass &amp; Care Mgmt Mead Hous</v>
          </cell>
          <cell r="F1181">
            <v>664667.68999999994</v>
          </cell>
          <cell r="G1181">
            <v>-44482.04</v>
          </cell>
          <cell r="H1181">
            <v>620185.64999999991</v>
          </cell>
        </row>
        <row r="1182">
          <cell r="B1182">
            <v>64431</v>
          </cell>
          <cell r="C1182" t="str">
            <v>SF: MH - Ass &amp; Care Mgmt Pembroke</v>
          </cell>
          <cell r="F1182">
            <v>519881.92</v>
          </cell>
          <cell r="G1182">
            <v>-31931.86</v>
          </cell>
          <cell r="H1182">
            <v>487950.06</v>
          </cell>
        </row>
        <row r="1183">
          <cell r="B1183">
            <v>64432</v>
          </cell>
          <cell r="C1183" t="str">
            <v>SF: MH - Ass &amp; Care Mgmt Mill Hous</v>
          </cell>
          <cell r="F1183">
            <v>493653.25</v>
          </cell>
          <cell r="G1183">
            <v>-31646.29</v>
          </cell>
          <cell r="H1183">
            <v>462006.96</v>
          </cell>
        </row>
        <row r="1184">
          <cell r="B1184">
            <v>64433</v>
          </cell>
          <cell r="C1184" t="str">
            <v>SF: MHG - Crisis Team</v>
          </cell>
          <cell r="F1184">
            <v>177279.65</v>
          </cell>
          <cell r="G1184">
            <v>-154338.26999999999</v>
          </cell>
          <cell r="H1184">
            <v>22941.380000000005</v>
          </cell>
        </row>
        <row r="1185">
          <cell r="B1185">
            <v>64434</v>
          </cell>
          <cell r="C1185" t="str">
            <v>SF: MHG - PDT Allocation</v>
          </cell>
          <cell r="F1185">
            <v>24118.639999999999</v>
          </cell>
          <cell r="G1185">
            <v>-139.08000000000001</v>
          </cell>
          <cell r="H1185">
            <v>23979.559999999998</v>
          </cell>
        </row>
        <row r="1186">
          <cell r="B1186">
            <v>64435</v>
          </cell>
          <cell r="C1186" t="str">
            <v>SF: MH - HOST</v>
          </cell>
          <cell r="F1186">
            <v>88658.86</v>
          </cell>
          <cell r="G1186">
            <v>-1011.96</v>
          </cell>
          <cell r="H1186">
            <v>87646.9</v>
          </cell>
        </row>
        <row r="1187">
          <cell r="B1187">
            <v>64500</v>
          </cell>
          <cell r="C1187" t="str">
            <v>SF: MH-P&amp;V Nursing</v>
          </cell>
          <cell r="F1187">
            <v>74816.52</v>
          </cell>
          <cell r="G1187">
            <v>-67679.94</v>
          </cell>
          <cell r="H1187">
            <v>7136.5800000000017</v>
          </cell>
        </row>
        <row r="1188">
          <cell r="B1188">
            <v>64540</v>
          </cell>
          <cell r="C1188" t="str">
            <v>SF: MH - P&amp;V Residential</v>
          </cell>
          <cell r="F1188">
            <v>490035.94</v>
          </cell>
          <cell r="G1188">
            <v>-113710.04</v>
          </cell>
          <cell r="H1188">
            <v>376325.9</v>
          </cell>
        </row>
        <row r="1189">
          <cell r="B1189">
            <v>64541</v>
          </cell>
          <cell r="C1189" t="str">
            <v>SF: MHG Grants</v>
          </cell>
          <cell r="F1189">
            <v>326041.56</v>
          </cell>
          <cell r="G1189">
            <v>-278208.61</v>
          </cell>
          <cell r="H1189">
            <v>47832.950000000012</v>
          </cell>
        </row>
        <row r="1190">
          <cell r="B1190">
            <v>64570</v>
          </cell>
          <cell r="C1190" t="str">
            <v>SF: MH - P&amp;V Supported Accom</v>
          </cell>
          <cell r="F1190">
            <v>72007.850000000006</v>
          </cell>
          <cell r="G1190">
            <v>-62.43</v>
          </cell>
          <cell r="H1190">
            <v>71945.420000000013</v>
          </cell>
        </row>
        <row r="1191">
          <cell r="B1191">
            <v>64571</v>
          </cell>
          <cell r="C1191" t="str">
            <v>SF: MH - Look Ahead Block Contract</v>
          </cell>
          <cell r="F1191">
            <v>123125</v>
          </cell>
          <cell r="G1191">
            <v>0</v>
          </cell>
          <cell r="H1191">
            <v>123125</v>
          </cell>
        </row>
        <row r="1192">
          <cell r="B1192">
            <v>64600</v>
          </cell>
          <cell r="C1192" t="str">
            <v>SF: MH - Adult Care Scheme</v>
          </cell>
          <cell r="F1192">
            <v>93203.87</v>
          </cell>
          <cell r="G1192">
            <v>-7685.67</v>
          </cell>
          <cell r="H1192">
            <v>85518.2</v>
          </cell>
        </row>
        <row r="1193">
          <cell r="B1193">
            <v>64601</v>
          </cell>
          <cell r="C1193" t="str">
            <v>SF: Tasman House</v>
          </cell>
          <cell r="F1193">
            <v>380528.66</v>
          </cell>
          <cell r="G1193">
            <v>-81952.44</v>
          </cell>
          <cell r="H1193">
            <v>298576.21999999997</v>
          </cell>
        </row>
        <row r="1194">
          <cell r="B1194">
            <v>64602</v>
          </cell>
          <cell r="C1194" t="str">
            <v>SF: King Edward Road</v>
          </cell>
          <cell r="F1194">
            <v>1973.51</v>
          </cell>
          <cell r="G1194">
            <v>-64.53</v>
          </cell>
          <cell r="H1194">
            <v>1908.98</v>
          </cell>
        </row>
        <row r="1195">
          <cell r="B1195">
            <v>64603</v>
          </cell>
          <cell r="C1195" t="str">
            <v>SF: 5 Hornbeam Road</v>
          </cell>
          <cell r="F1195">
            <v>11079.8</v>
          </cell>
          <cell r="G1195">
            <v>-12653.64</v>
          </cell>
          <cell r="H1195">
            <v>-1573.8400000000001</v>
          </cell>
        </row>
        <row r="1196">
          <cell r="B1196">
            <v>64604</v>
          </cell>
          <cell r="C1196" t="str">
            <v>SF: Church Road</v>
          </cell>
          <cell r="F1196">
            <v>12419.32</v>
          </cell>
          <cell r="G1196">
            <v>-10468.719999999999</v>
          </cell>
          <cell r="H1196">
            <v>1950.6000000000004</v>
          </cell>
        </row>
        <row r="1197">
          <cell r="B1197">
            <v>64605</v>
          </cell>
          <cell r="C1197" t="str">
            <v>SF: Hayes Park House</v>
          </cell>
          <cell r="F1197">
            <v>387618.07</v>
          </cell>
          <cell r="G1197">
            <v>-111485.81</v>
          </cell>
          <cell r="H1197">
            <v>276132.26</v>
          </cell>
        </row>
        <row r="1198">
          <cell r="B1198">
            <v>64606</v>
          </cell>
          <cell r="C1198" t="str">
            <v>SF: 291 Long Lane</v>
          </cell>
          <cell r="F1198">
            <v>13555.92</v>
          </cell>
          <cell r="G1198">
            <v>-10662.49</v>
          </cell>
          <cell r="H1198">
            <v>2893.4300000000003</v>
          </cell>
        </row>
        <row r="1199">
          <cell r="B1199">
            <v>64607</v>
          </cell>
          <cell r="C1199" t="str">
            <v>SF: 293 Long Lane</v>
          </cell>
          <cell r="F1199">
            <v>5727.49</v>
          </cell>
          <cell r="G1199">
            <v>-4144.75</v>
          </cell>
          <cell r="H1199">
            <v>1582.7399999999998</v>
          </cell>
        </row>
        <row r="1200">
          <cell r="B1200">
            <v>64630</v>
          </cell>
          <cell r="C1200" t="str">
            <v>SF: MH-P&amp;V Homecare</v>
          </cell>
          <cell r="F1200">
            <v>52614.17</v>
          </cell>
          <cell r="G1200">
            <v>-314.02999999999997</v>
          </cell>
          <cell r="H1200">
            <v>52300.14</v>
          </cell>
        </row>
        <row r="1201">
          <cell r="B1201">
            <v>64660</v>
          </cell>
          <cell r="C1201" t="str">
            <v>SF: MH-Direct Payments</v>
          </cell>
          <cell r="F1201">
            <v>90634.99</v>
          </cell>
          <cell r="G1201">
            <v>-495.67</v>
          </cell>
          <cell r="H1201">
            <v>90139.32</v>
          </cell>
        </row>
        <row r="1202">
          <cell r="B1202">
            <v>64680</v>
          </cell>
          <cell r="C1202" t="str">
            <v>SF: MH-P&amp;V Day Care</v>
          </cell>
          <cell r="F1202">
            <v>45615.73</v>
          </cell>
          <cell r="G1202">
            <v>-302.93</v>
          </cell>
          <cell r="H1202">
            <v>45312.800000000003</v>
          </cell>
        </row>
        <row r="1203">
          <cell r="B1203">
            <v>64700</v>
          </cell>
          <cell r="C1203" t="str">
            <v>SF: Mead House Day Services</v>
          </cell>
          <cell r="F1203">
            <v>82716.69</v>
          </cell>
          <cell r="G1203">
            <v>-6846.17</v>
          </cell>
          <cell r="H1203">
            <v>75870.52</v>
          </cell>
        </row>
        <row r="1204">
          <cell r="B1204">
            <v>64701</v>
          </cell>
          <cell r="C1204" t="str">
            <v>SF: Pembroke Centre Day Services</v>
          </cell>
          <cell r="F1204">
            <v>87470.1</v>
          </cell>
          <cell r="G1204">
            <v>-57013.67</v>
          </cell>
          <cell r="H1204">
            <v>30456.430000000008</v>
          </cell>
        </row>
        <row r="1205">
          <cell r="B1205">
            <v>64702</v>
          </cell>
          <cell r="C1205" t="str">
            <v>SF: MHG  Weekend Care</v>
          </cell>
          <cell r="F1205">
            <v>151.35</v>
          </cell>
          <cell r="G1205">
            <v>0</v>
          </cell>
          <cell r="H1205">
            <v>151.35</v>
          </cell>
        </row>
        <row r="1206">
          <cell r="B1206">
            <v>64703</v>
          </cell>
          <cell r="C1206" t="str">
            <v>SF: MHG Employment Initiatives</v>
          </cell>
          <cell r="F1206">
            <v>398</v>
          </cell>
          <cell r="G1206">
            <v>0</v>
          </cell>
          <cell r="H1206">
            <v>398</v>
          </cell>
        </row>
        <row r="1207">
          <cell r="B1207">
            <v>65620</v>
          </cell>
          <cell r="C1207" t="str">
            <v>OA Serv - Ass &amp; Care Man HIV/AIDS</v>
          </cell>
          <cell r="F1207">
            <v>83361.67</v>
          </cell>
          <cell r="G1207">
            <v>-24528.33</v>
          </cell>
          <cell r="H1207">
            <v>58833.34</v>
          </cell>
        </row>
        <row r="1208">
          <cell r="B1208">
            <v>65621</v>
          </cell>
          <cell r="C1208" t="str">
            <v>OAS Ass &amp; Care Man Com Drugs Team</v>
          </cell>
          <cell r="F1208">
            <v>272672.71999999997</v>
          </cell>
          <cell r="G1208">
            <v>-96172.63</v>
          </cell>
          <cell r="H1208">
            <v>176500.08999999997</v>
          </cell>
        </row>
        <row r="1209">
          <cell r="B1209">
            <v>65650</v>
          </cell>
          <cell r="C1209" t="str">
            <v>Michael Sobell House</v>
          </cell>
          <cell r="F1209">
            <v>164441.39000000001</v>
          </cell>
          <cell r="G1209">
            <v>-151097.51999999999</v>
          </cell>
          <cell r="H1209">
            <v>13343.870000000024</v>
          </cell>
        </row>
        <row r="1210">
          <cell r="B1210">
            <v>65651</v>
          </cell>
          <cell r="C1210" t="str">
            <v>HIV/AIDS P&amp;V Placements</v>
          </cell>
          <cell r="F1210">
            <v>70353.320000000007</v>
          </cell>
          <cell r="G1210">
            <v>-67631.429999999993</v>
          </cell>
          <cell r="H1210">
            <v>2721.890000000014</v>
          </cell>
        </row>
        <row r="1211">
          <cell r="B1211">
            <v>65670</v>
          </cell>
          <cell r="C1211" t="str">
            <v>OA Services - Substance Abuse Plac</v>
          </cell>
          <cell r="F1211">
            <v>285248.15999999997</v>
          </cell>
          <cell r="G1211">
            <v>-31275.55</v>
          </cell>
          <cell r="H1211">
            <v>253972.61</v>
          </cell>
        </row>
        <row r="1212">
          <cell r="B1212">
            <v>65800</v>
          </cell>
          <cell r="C1212" t="str">
            <v>SI: Job Opportunities Unit</v>
          </cell>
          <cell r="F1212">
            <v>284227.64</v>
          </cell>
          <cell r="G1212">
            <v>-91902.68</v>
          </cell>
          <cell r="H1212">
            <v>192324.96000000002</v>
          </cell>
        </row>
        <row r="1213">
          <cell r="B1213">
            <v>65802</v>
          </cell>
          <cell r="C1213" t="str">
            <v>SI: Rural Activities Centre</v>
          </cell>
          <cell r="F1213">
            <v>193396.78</v>
          </cell>
          <cell r="G1213">
            <v>-58572.13</v>
          </cell>
          <cell r="H1213">
            <v>134824.65</v>
          </cell>
        </row>
        <row r="1214">
          <cell r="B1214">
            <v>65900</v>
          </cell>
          <cell r="C1214" t="str">
            <v>SZ: Concessionary Fares</v>
          </cell>
          <cell r="F1214">
            <v>7770528.29</v>
          </cell>
          <cell r="G1214">
            <v>0</v>
          </cell>
          <cell r="H1214">
            <v>7770528.29</v>
          </cell>
        </row>
        <row r="1215">
          <cell r="B1215">
            <v>69700</v>
          </cell>
          <cell r="C1215" t="str">
            <v>SA: Directorate</v>
          </cell>
          <cell r="F1215">
            <v>350369.12</v>
          </cell>
          <cell r="G1215">
            <v>-60023.39</v>
          </cell>
          <cell r="H1215">
            <v>290345.73</v>
          </cell>
        </row>
        <row r="1216">
          <cell r="B1216">
            <v>69701</v>
          </cell>
          <cell r="C1216" t="str">
            <v>SA: Commissioning Team</v>
          </cell>
          <cell r="F1216">
            <v>829514.93</v>
          </cell>
          <cell r="G1216">
            <v>-332597.98</v>
          </cell>
          <cell r="H1216">
            <v>496916.95000000007</v>
          </cell>
        </row>
        <row r="1217">
          <cell r="B1217">
            <v>69720</v>
          </cell>
          <cell r="C1217" t="str">
            <v>SA: Complaints Service</v>
          </cell>
          <cell r="F1217">
            <v>136487.42000000001</v>
          </cell>
          <cell r="G1217">
            <v>-40644.089999999997</v>
          </cell>
          <cell r="H1217">
            <v>95843.330000000016</v>
          </cell>
        </row>
        <row r="1218">
          <cell r="B1218">
            <v>69823</v>
          </cell>
          <cell r="C1218" t="str">
            <v>SJ: Carers Grant</v>
          </cell>
          <cell r="F1218">
            <v>0</v>
          </cell>
          <cell r="G1218">
            <v>-616271.56000000006</v>
          </cell>
          <cell r="H1218">
            <v>-616271.56000000006</v>
          </cell>
        </row>
        <row r="1219">
          <cell r="B1219">
            <v>69835</v>
          </cell>
          <cell r="C1219" t="str">
            <v>SJ: Pensions &amp; Severance</v>
          </cell>
          <cell r="F1219">
            <v>303666.38</v>
          </cell>
          <cell r="G1219">
            <v>0</v>
          </cell>
          <cell r="H1219">
            <v>303666.38</v>
          </cell>
        </row>
        <row r="1220">
          <cell r="B1220">
            <v>69883</v>
          </cell>
          <cell r="C1220" t="str">
            <v>SH: Daily Living Equipment</v>
          </cell>
          <cell r="F1220">
            <v>0</v>
          </cell>
          <cell r="G1220">
            <v>-250000</v>
          </cell>
          <cell r="H1220">
            <v>-250000</v>
          </cell>
        </row>
        <row r="1221">
          <cell r="B1221">
            <v>69891</v>
          </cell>
          <cell r="C1221" t="str">
            <v>Access &amp; Systems Capacity Grant</v>
          </cell>
          <cell r="F1221">
            <v>0</v>
          </cell>
          <cell r="G1221">
            <v>-215375</v>
          </cell>
          <cell r="H1221">
            <v>-215375</v>
          </cell>
        </row>
        <row r="1222">
          <cell r="B1222">
            <v>69892</v>
          </cell>
          <cell r="C1222" t="str">
            <v>Preventative Technology Grant</v>
          </cell>
          <cell r="F1222">
            <v>0</v>
          </cell>
          <cell r="G1222">
            <v>-14846.85</v>
          </cell>
          <cell r="H1222">
            <v>-14846.85</v>
          </cell>
        </row>
        <row r="1223">
          <cell r="H1223">
            <v>0</v>
          </cell>
        </row>
        <row r="1224">
          <cell r="H1224">
            <v>0</v>
          </cell>
        </row>
        <row r="1225">
          <cell r="H1225">
            <v>0</v>
          </cell>
        </row>
        <row r="1226">
          <cell r="H1226">
            <v>0</v>
          </cell>
        </row>
        <row r="1227">
          <cell r="H1227">
            <v>0</v>
          </cell>
        </row>
        <row r="1228">
          <cell r="H1228">
            <v>0</v>
          </cell>
        </row>
        <row r="1229">
          <cell r="H1229">
            <v>0</v>
          </cell>
        </row>
        <row r="1230">
          <cell r="H1230">
            <v>0</v>
          </cell>
        </row>
        <row r="1231">
          <cell r="H1231">
            <v>0</v>
          </cell>
        </row>
        <row r="1232">
          <cell r="H1232">
            <v>0</v>
          </cell>
        </row>
        <row r="1233">
          <cell r="H1233">
            <v>0</v>
          </cell>
        </row>
        <row r="1234">
          <cell r="H1234">
            <v>0</v>
          </cell>
        </row>
        <row r="1235">
          <cell r="H1235">
            <v>0</v>
          </cell>
        </row>
        <row r="1236">
          <cell r="H1236">
            <v>0</v>
          </cell>
        </row>
        <row r="1237">
          <cell r="H1237">
            <v>0</v>
          </cell>
        </row>
        <row r="1238">
          <cell r="H1238">
            <v>0</v>
          </cell>
        </row>
        <row r="1239">
          <cell r="H1239">
            <v>0</v>
          </cell>
        </row>
        <row r="1240">
          <cell r="H1240">
            <v>0</v>
          </cell>
        </row>
        <row r="1241">
          <cell r="H1241">
            <v>0</v>
          </cell>
        </row>
        <row r="1242">
          <cell r="H1242">
            <v>0</v>
          </cell>
        </row>
        <row r="1243">
          <cell r="H1243">
            <v>0</v>
          </cell>
        </row>
        <row r="1244">
          <cell r="H1244">
            <v>0</v>
          </cell>
        </row>
        <row r="1245">
          <cell r="H1245">
            <v>0</v>
          </cell>
        </row>
        <row r="1246">
          <cell r="H1246">
            <v>0</v>
          </cell>
        </row>
        <row r="1247">
          <cell r="H1247">
            <v>0</v>
          </cell>
        </row>
        <row r="1248">
          <cell r="H1248">
            <v>0</v>
          </cell>
        </row>
        <row r="1249">
          <cell r="H1249">
            <v>0</v>
          </cell>
        </row>
        <row r="1250">
          <cell r="H1250">
            <v>0</v>
          </cell>
        </row>
        <row r="1251">
          <cell r="H1251">
            <v>0</v>
          </cell>
        </row>
        <row r="1252">
          <cell r="H1252">
            <v>0</v>
          </cell>
        </row>
        <row r="1253">
          <cell r="H1253">
            <v>0</v>
          </cell>
        </row>
        <row r="1254">
          <cell r="H1254">
            <v>0</v>
          </cell>
        </row>
        <row r="1255">
          <cell r="H1255">
            <v>0</v>
          </cell>
        </row>
        <row r="1256">
          <cell r="H1256">
            <v>0</v>
          </cell>
        </row>
        <row r="1257">
          <cell r="H1257">
            <v>0</v>
          </cell>
        </row>
        <row r="1258">
          <cell r="H1258">
            <v>0</v>
          </cell>
        </row>
        <row r="1259">
          <cell r="H1259">
            <v>0</v>
          </cell>
        </row>
        <row r="1260">
          <cell r="H1260">
            <v>0</v>
          </cell>
        </row>
        <row r="1261">
          <cell r="H1261">
            <v>0</v>
          </cell>
        </row>
        <row r="1262">
          <cell r="H1262">
            <v>0</v>
          </cell>
        </row>
        <row r="1263">
          <cell r="H1263">
            <v>0</v>
          </cell>
        </row>
        <row r="1264">
          <cell r="H1264">
            <v>0</v>
          </cell>
        </row>
        <row r="1265">
          <cell r="H1265">
            <v>0</v>
          </cell>
        </row>
        <row r="1266">
          <cell r="H1266">
            <v>0</v>
          </cell>
        </row>
        <row r="1267">
          <cell r="H1267">
            <v>0</v>
          </cell>
        </row>
        <row r="1268">
          <cell r="H1268">
            <v>0</v>
          </cell>
        </row>
        <row r="1269">
          <cell r="H1269">
            <v>0</v>
          </cell>
        </row>
        <row r="1270">
          <cell r="H1270">
            <v>0</v>
          </cell>
        </row>
        <row r="1271">
          <cell r="H1271">
            <v>0</v>
          </cell>
        </row>
        <row r="1272">
          <cell r="H1272">
            <v>0</v>
          </cell>
        </row>
        <row r="1273">
          <cell r="H1273">
            <v>0</v>
          </cell>
        </row>
        <row r="1274">
          <cell r="H1274">
            <v>0</v>
          </cell>
        </row>
        <row r="1275">
          <cell r="H1275">
            <v>0</v>
          </cell>
        </row>
        <row r="1276">
          <cell r="H1276">
            <v>0</v>
          </cell>
        </row>
        <row r="1277">
          <cell r="H1277">
            <v>0</v>
          </cell>
        </row>
        <row r="1278">
          <cell r="H1278">
            <v>0</v>
          </cell>
        </row>
        <row r="1279">
          <cell r="H1279">
            <v>0</v>
          </cell>
        </row>
        <row r="1280">
          <cell r="H1280">
            <v>0</v>
          </cell>
        </row>
        <row r="1281">
          <cell r="H1281">
            <v>0</v>
          </cell>
        </row>
        <row r="1282">
          <cell r="H1282">
            <v>0</v>
          </cell>
        </row>
        <row r="1283">
          <cell r="H1283">
            <v>0</v>
          </cell>
        </row>
        <row r="1284">
          <cell r="H1284">
            <v>0</v>
          </cell>
        </row>
        <row r="1285">
          <cell r="H1285">
            <v>0</v>
          </cell>
        </row>
        <row r="1286">
          <cell r="H1286">
            <v>0</v>
          </cell>
        </row>
        <row r="1287">
          <cell r="H1287">
            <v>0</v>
          </cell>
        </row>
        <row r="1288">
          <cell r="H1288">
            <v>0</v>
          </cell>
        </row>
        <row r="1289">
          <cell r="H1289">
            <v>0</v>
          </cell>
        </row>
        <row r="1290">
          <cell r="H1290">
            <v>0</v>
          </cell>
        </row>
        <row r="1291">
          <cell r="H1291">
            <v>0</v>
          </cell>
        </row>
        <row r="1292">
          <cell r="H1292">
            <v>0</v>
          </cell>
        </row>
        <row r="1293">
          <cell r="H1293">
            <v>0</v>
          </cell>
        </row>
        <row r="1294">
          <cell r="H1294">
            <v>0</v>
          </cell>
        </row>
        <row r="1295">
          <cell r="H1295">
            <v>0</v>
          </cell>
        </row>
        <row r="1296">
          <cell r="H1296">
            <v>0</v>
          </cell>
        </row>
        <row r="1297">
          <cell r="H1297">
            <v>0</v>
          </cell>
        </row>
        <row r="1298">
          <cell r="H1298">
            <v>0</v>
          </cell>
        </row>
        <row r="1299">
          <cell r="H1299">
            <v>0</v>
          </cell>
        </row>
        <row r="1300">
          <cell r="H1300">
            <v>0</v>
          </cell>
        </row>
        <row r="1301">
          <cell r="H1301">
            <v>0</v>
          </cell>
        </row>
        <row r="1302">
          <cell r="H1302">
            <v>0</v>
          </cell>
        </row>
        <row r="1303">
          <cell r="H1303">
            <v>0</v>
          </cell>
        </row>
        <row r="1304">
          <cell r="H1304">
            <v>0</v>
          </cell>
        </row>
        <row r="1305">
          <cell r="H1305">
            <v>0</v>
          </cell>
        </row>
        <row r="1306">
          <cell r="H1306">
            <v>0</v>
          </cell>
        </row>
        <row r="1307">
          <cell r="H1307">
            <v>0</v>
          </cell>
        </row>
        <row r="1308">
          <cell r="H1308">
            <v>0</v>
          </cell>
        </row>
        <row r="1309">
          <cell r="H1309">
            <v>0</v>
          </cell>
        </row>
        <row r="1310">
          <cell r="H1310">
            <v>0</v>
          </cell>
        </row>
        <row r="1311">
          <cell r="H1311">
            <v>0</v>
          </cell>
        </row>
        <row r="1312">
          <cell r="H1312">
            <v>0</v>
          </cell>
        </row>
        <row r="1313">
          <cell r="H1313">
            <v>0</v>
          </cell>
        </row>
        <row r="1314">
          <cell r="H1314">
            <v>0</v>
          </cell>
        </row>
        <row r="1315">
          <cell r="H1315">
            <v>0</v>
          </cell>
        </row>
        <row r="1316">
          <cell r="H1316">
            <v>0</v>
          </cell>
        </row>
        <row r="1317">
          <cell r="H1317">
            <v>0</v>
          </cell>
        </row>
        <row r="1318">
          <cell r="H1318">
            <v>0</v>
          </cell>
        </row>
        <row r="1319">
          <cell r="H1319">
            <v>0</v>
          </cell>
        </row>
        <row r="1320">
          <cell r="H1320">
            <v>0</v>
          </cell>
        </row>
        <row r="1321">
          <cell r="H1321">
            <v>0</v>
          </cell>
        </row>
        <row r="1322">
          <cell r="H1322">
            <v>0</v>
          </cell>
        </row>
        <row r="1323">
          <cell r="H1323">
            <v>0</v>
          </cell>
        </row>
        <row r="1324">
          <cell r="H1324">
            <v>0</v>
          </cell>
        </row>
        <row r="1325">
          <cell r="H1325">
            <v>0</v>
          </cell>
        </row>
        <row r="1326">
          <cell r="H1326">
            <v>0</v>
          </cell>
        </row>
        <row r="1327">
          <cell r="H1327">
            <v>0</v>
          </cell>
        </row>
        <row r="1328">
          <cell r="H1328">
            <v>0</v>
          </cell>
        </row>
        <row r="1329">
          <cell r="H1329">
            <v>0</v>
          </cell>
        </row>
        <row r="1330">
          <cell r="H1330">
            <v>0</v>
          </cell>
        </row>
        <row r="1331">
          <cell r="H1331">
            <v>0</v>
          </cell>
        </row>
        <row r="1332">
          <cell r="H1332">
            <v>0</v>
          </cell>
        </row>
        <row r="1333">
          <cell r="H1333">
            <v>0</v>
          </cell>
        </row>
        <row r="1334">
          <cell r="H1334">
            <v>0</v>
          </cell>
        </row>
        <row r="1335">
          <cell r="H1335">
            <v>0</v>
          </cell>
        </row>
        <row r="1336">
          <cell r="H1336">
            <v>0</v>
          </cell>
        </row>
        <row r="1337">
          <cell r="H1337">
            <v>0</v>
          </cell>
        </row>
        <row r="1338">
          <cell r="H1338">
            <v>0</v>
          </cell>
        </row>
        <row r="1339">
          <cell r="H1339">
            <v>0</v>
          </cell>
        </row>
        <row r="1340">
          <cell r="H1340">
            <v>0</v>
          </cell>
        </row>
        <row r="1341">
          <cell r="H1341">
            <v>0</v>
          </cell>
        </row>
        <row r="1342">
          <cell r="H1342">
            <v>0</v>
          </cell>
        </row>
        <row r="1343">
          <cell r="H1343">
            <v>0</v>
          </cell>
        </row>
        <row r="1344">
          <cell r="H1344">
            <v>0</v>
          </cell>
        </row>
        <row r="1345">
          <cell r="H1345">
            <v>0</v>
          </cell>
        </row>
        <row r="1346">
          <cell r="H1346">
            <v>0</v>
          </cell>
        </row>
        <row r="1347">
          <cell r="H1347">
            <v>0</v>
          </cell>
        </row>
        <row r="1348">
          <cell r="H1348">
            <v>0</v>
          </cell>
        </row>
        <row r="1349">
          <cell r="H1349">
            <v>0</v>
          </cell>
        </row>
      </sheetData>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Budget 2011-12"/>
      <sheetName val="Control Budget 2012-13"/>
      <sheetName val="Reserve Summary"/>
      <sheetName val="Reconciliation"/>
      <sheetName val="MTFP"/>
      <sheetName val="Below Line Items"/>
      <sheetName val="List"/>
      <sheetName val="Appendix C"/>
      <sheetName val="Lists"/>
    </sheetNames>
    <sheetDataSet>
      <sheetData sheetId="0"/>
      <sheetData sheetId="1"/>
      <sheetData sheetId="2"/>
      <sheetData sheetId="3"/>
      <sheetData sheetId="4"/>
      <sheetData sheetId="5"/>
      <sheetData sheetId="6"/>
      <sheetData sheetId="7"/>
      <sheetData sheetId="8">
        <row r="2">
          <cell r="A2" t="str">
            <v>HRA</v>
          </cell>
        </row>
        <row r="3">
          <cell r="A3" t="str">
            <v>DSG Expenditure</v>
          </cell>
        </row>
        <row r="4">
          <cell r="A4" t="str">
            <v>DSG Income</v>
          </cell>
        </row>
        <row r="5">
          <cell r="A5" t="str">
            <v>Street Trading Expenditure</v>
          </cell>
        </row>
        <row r="6">
          <cell r="A6" t="str">
            <v>Street Trading Income</v>
          </cell>
        </row>
        <row r="7">
          <cell r="A7" t="str">
            <v>Parking Control Expenditure</v>
          </cell>
        </row>
        <row r="8">
          <cell r="A8" t="str">
            <v>Parking Control Income</v>
          </cell>
        </row>
        <row r="9">
          <cell r="A9" t="str">
            <v>Inflation and Other Contingencies</v>
          </cell>
        </row>
        <row r="10">
          <cell r="A10" t="str">
            <v>Parking Control A/C</v>
          </cell>
        </row>
        <row r="11">
          <cell r="A11" t="str">
            <v>Local Public Service Agreement</v>
          </cell>
        </row>
        <row r="12">
          <cell r="A12" t="str">
            <v>Efficiency Reserve</v>
          </cell>
        </row>
        <row r="13">
          <cell r="A13" t="str">
            <v>Funding for Accelerated Delivery Programme</v>
          </cell>
        </row>
        <row r="14">
          <cell r="A14" t="str">
            <v>Insurance Fund</v>
          </cell>
        </row>
        <row r="15">
          <cell r="A15" t="str">
            <v>Contribution to Investment Reserve</v>
          </cell>
        </row>
        <row r="16">
          <cell r="A16" t="str">
            <v>Contribution to General Balances</v>
          </cell>
        </row>
        <row r="17">
          <cell r="A17" t="str">
            <v>Transitional Grant</v>
          </cell>
        </row>
        <row r="18">
          <cell r="A18" t="str">
            <v>Council Tax Freeze Grant</v>
          </cell>
        </row>
        <row r="19">
          <cell r="A19" t="str">
            <v xml:space="preserve">Inflation </v>
          </cell>
        </row>
        <row r="20">
          <cell r="A20" t="str">
            <v>Contingency</v>
          </cell>
        </row>
        <row r="21">
          <cell r="A21" t="str">
            <v xml:space="preserve">Growth </v>
          </cell>
        </row>
        <row r="22">
          <cell r="A22" t="str">
            <v>Contribution from Budget Delivery Reserve</v>
          </cell>
        </row>
        <row r="23">
          <cell r="A23" t="str">
            <v>Capital Financing and Investment</v>
          </cell>
        </row>
        <row r="24">
          <cell r="A24" t="str">
            <v>Pensions fund</v>
          </cell>
        </row>
        <row r="25">
          <cell r="A25" t="str">
            <v>New Homes Bonus</v>
          </cell>
        </row>
        <row r="26">
          <cell r="A26" t="str">
            <v>Annual savings - New</v>
          </cell>
        </row>
        <row r="27">
          <cell r="A27" t="str">
            <v>Approved Savings To Be Allocated</v>
          </cell>
        </row>
        <row r="28">
          <cell r="A28" t="str">
            <v>Use of Reserves</v>
          </cell>
        </row>
        <row r="29">
          <cell r="A29" t="str">
            <v>Collection Fund Savings</v>
          </cell>
        </row>
        <row r="30">
          <cell r="A30" t="str">
            <v>Inter-Directorate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Moves"/>
      <sheetName val="MTFS Pivot"/>
      <sheetName val="UP Pivot"/>
      <sheetName val="SN Pivot"/>
      <sheetName val="SF Pivot"/>
      <sheetName val="Inc"/>
      <sheetName val="GLA Sched 7"/>
      <sheetName val="Inf"/>
      <sheetName val="MTFS"/>
      <sheetName val="UP"/>
      <sheetName val="SN GLA Cat"/>
      <sheetName val="SN"/>
      <sheetName val="SO"/>
      <sheetName val="SF"/>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C2" t="str">
            <v>Procurement efficiencies</v>
          </cell>
        </row>
        <row r="3">
          <cell r="C3" t="str">
            <v>Cost avoidance</v>
          </cell>
        </row>
        <row r="4">
          <cell r="C4" t="str">
            <v>Establishment efficiencies</v>
          </cell>
        </row>
        <row r="5">
          <cell r="C5" t="str">
            <v>Metropolitan Fire Brigade Act income</v>
          </cell>
        </row>
        <row r="6">
          <cell r="C6" t="str">
            <v>Income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aster_Development_Programme"/>
      <sheetName val="Commercial_-_Projects"/>
      <sheetName val="Project_timeline"/>
      <sheetName val="Team_contact_details"/>
      <sheetName val="Land_Ownership"/>
      <sheetName val="Plot-level_breakdowns"/>
      <sheetName val="Corporate_Plan"/>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L "/>
      <sheetName val="STRGL  (2)"/>
      <sheetName val="PPA's"/>
      <sheetName val="I&amp;E"/>
      <sheetName val="I&amp;E Revised"/>
      <sheetName val="SMGFB "/>
      <sheetName val="SMGFB revised"/>
      <sheetName val="SMGFB Reconciliation"/>
      <sheetName val="SMGFB Rec Revised"/>
      <sheetName val="HRA I&amp;E"/>
      <sheetName val="SMHRA"/>
      <sheetName val="SMHRA Reconciliation"/>
      <sheetName val="Gain loss on disposal"/>
      <sheetName val="collection fund (2)"/>
      <sheetName val="Pension Movement"/>
      <sheetName val="HRA movmt pg 65"/>
      <sheetName val="Collection Fund "/>
      <sheetName val="Revaluation reserve"/>
      <sheetName val="Fixed Assets Reval"/>
      <sheetName val="CAA, CRR,DCR"/>
      <sheetName val="CAA"/>
      <sheetName val="Major Repairs Reserve"/>
      <sheetName val="FIAA"/>
      <sheetName val="Balance Sheet"/>
      <sheetName val="Reconciliation analysis"/>
      <sheetName val="WP2"/>
      <sheetName val="WP2 17 June"/>
      <sheetName val="Working papr"/>
      <sheetName val="Working paper 17 June"/>
      <sheetName val="Deferred Capital Receipts"/>
      <sheetName val="Capital receipts reserve"/>
      <sheetName val="Schools adjust"/>
      <sheetName val="Emkd Reserves 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Budget 2011-12"/>
      <sheetName val="Control Budget 2012-13"/>
      <sheetName val="Reconciliation"/>
      <sheetName val="Below Line Items"/>
      <sheetName val="12-13 Budget Make Up"/>
      <sheetName val="Reserve Summary"/>
      <sheetName val="List"/>
      <sheetName val="Appendix C"/>
      <sheetName val="List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1">
          <cell r="E1" t="str">
            <v>Saving</v>
          </cell>
        </row>
        <row r="2">
          <cell r="A2" t="str">
            <v>HRA</v>
          </cell>
          <cell r="E2" t="str">
            <v>Growth</v>
          </cell>
        </row>
        <row r="3">
          <cell r="A3" t="str">
            <v>DSG Expenditure</v>
          </cell>
          <cell r="E3" t="str">
            <v>Accounting</v>
          </cell>
        </row>
        <row r="4">
          <cell r="A4" t="str">
            <v>DSG Income</v>
          </cell>
          <cell r="E4" t="str">
            <v>Service Transfer</v>
          </cell>
        </row>
        <row r="5">
          <cell r="A5" t="str">
            <v>Street Trading Expenditure</v>
          </cell>
          <cell r="E5" t="str">
            <v>Reversal</v>
          </cell>
        </row>
        <row r="6">
          <cell r="A6" t="str">
            <v>Street Trading Income</v>
          </cell>
          <cell r="E6" t="str">
            <v>Reserve Movement</v>
          </cell>
        </row>
        <row r="7">
          <cell r="A7" t="str">
            <v>Parking Control Expenditure</v>
          </cell>
        </row>
        <row r="8">
          <cell r="A8" t="str">
            <v>Parking Control Income</v>
          </cell>
        </row>
        <row r="9">
          <cell r="A9" t="str">
            <v>Inflation and Other Contingencies</v>
          </cell>
        </row>
        <row r="10">
          <cell r="A10" t="str">
            <v>Parking Control A/C</v>
          </cell>
        </row>
        <row r="11">
          <cell r="A11" t="str">
            <v>Local Public Service Agreement</v>
          </cell>
        </row>
        <row r="12">
          <cell r="A12" t="str">
            <v>Efficiency Reserve</v>
          </cell>
        </row>
        <row r="13">
          <cell r="A13" t="str">
            <v>Funding for Accelerated Delivery Programme</v>
          </cell>
        </row>
        <row r="14">
          <cell r="A14" t="str">
            <v>Insurance Fund</v>
          </cell>
        </row>
        <row r="15">
          <cell r="A15" t="str">
            <v>Contribution to Investment Reserve</v>
          </cell>
        </row>
        <row r="16">
          <cell r="A16" t="str">
            <v>Contribution to General Balances</v>
          </cell>
          <cell r="H16" t="str">
            <v>One off</v>
          </cell>
        </row>
        <row r="17">
          <cell r="A17" t="str">
            <v>Transitional Grant</v>
          </cell>
          <cell r="H17" t="str">
            <v>Ongoing</v>
          </cell>
        </row>
        <row r="18">
          <cell r="A18" t="str">
            <v>Council Tax Freeze Grant</v>
          </cell>
        </row>
        <row r="19">
          <cell r="A19" t="str">
            <v>Inflation and Other Contingencies</v>
          </cell>
        </row>
        <row r="20">
          <cell r="A20" t="str">
            <v>Growth 2011/12 onwards</v>
          </cell>
        </row>
        <row r="21">
          <cell r="A21" t="str">
            <v>Contribution from Budget Delivery Reserve</v>
          </cell>
        </row>
        <row r="22">
          <cell r="A22" t="str">
            <v>Inter-Directorate</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ibilities"/>
      <sheetName val="Error messages CRA"/>
      <sheetName val="Page 21"/>
      <sheetName val="Page 22"/>
      <sheetName val="Page 23"/>
      <sheetName val="Page 24"/>
      <sheetName val="Page 25"/>
      <sheetName val="Page 26"/>
      <sheetName val="Page 27"/>
      <sheetName val="Page 28"/>
      <sheetName val="Page 29"/>
      <sheetName val="Error messages HRA"/>
      <sheetName val="Page 30"/>
      <sheetName val="Page 31"/>
      <sheetName val="Page 32"/>
      <sheetName val="Page 33"/>
      <sheetName val="Page 34"/>
      <sheetName val="Page 35"/>
      <sheetName val="Page 36"/>
      <sheetName val="Page 37"/>
      <sheetName val="Page 38"/>
      <sheetName val="Page 39"/>
      <sheetName val="Page 40"/>
      <sheetName val="Page 41"/>
      <sheetName val="Page 42"/>
      <sheetName val="Page 43"/>
      <sheetName val="Page 44"/>
      <sheetName val="Page 45"/>
      <sheetName val="Page 46"/>
      <sheetName val="Page 47"/>
      <sheetName val="Page 48"/>
      <sheetName val="Page 49"/>
      <sheetName val="Page 50"/>
      <sheetName val="Page 51"/>
      <sheetName val="Page 52"/>
      <sheetName val="Page 53"/>
      <sheetName val="Page 54 "/>
      <sheetName val="Page 55"/>
      <sheetName val="Page 56"/>
      <sheetName val="Page 57"/>
      <sheetName val="Page 58"/>
      <sheetName val="Page 59"/>
      <sheetName val="Page 60"/>
      <sheetName val="Page 61"/>
      <sheetName val="Page 62"/>
      <sheetName val="Page 63"/>
      <sheetName val="Page 64"/>
      <sheetName val="Page 65"/>
      <sheetName val="Page 66"/>
      <sheetName val="Page 6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51">
          <cell r="I51">
            <v>1246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VACOP analysis"/>
      <sheetName val="24-01-08"/>
      <sheetName val="Sent to group-19-12-07"/>
      <sheetName val="CC"/>
      <sheetName val="Sheet1"/>
      <sheetName val="BV"/>
      <sheetName val="Directorates"/>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teway A"/>
      <sheetName val="Gateway A Summary"/>
      <sheetName val="Gateway B"/>
      <sheetName val="Gateway B Summary"/>
      <sheetName val="Gateway C"/>
      <sheetName val="Gateway C Summary"/>
      <sheetName val="Gateway D"/>
      <sheetName val="Gateway D Summary"/>
      <sheetName val="Gateway E"/>
      <sheetName val="Gateway E Summary"/>
      <sheetName val="Other Submissions"/>
      <sheetName val="Other Submissions Summary"/>
      <sheetName val="Other PMO Deliverables"/>
      <sheetName val="Other PMO Deliverables Summary"/>
      <sheetName val="IPB, IC and Pre Meet Date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B3" t="str">
            <v>Yes</v>
          </cell>
          <cell r="C3">
            <v>1</v>
          </cell>
          <cell r="D3" t="str">
            <v>Simon Griffiths</v>
          </cell>
          <cell r="F3" t="str">
            <v>Low</v>
          </cell>
          <cell r="G3" t="str">
            <v>Open</v>
          </cell>
          <cell r="I3">
            <v>0</v>
          </cell>
          <cell r="J3" t="str">
            <v>Approved</v>
          </cell>
          <cell r="L3" t="str">
            <v>C&amp;M - Government Relations</v>
          </cell>
          <cell r="O3" t="str">
            <v>Pass</v>
          </cell>
        </row>
        <row r="4">
          <cell r="B4" t="str">
            <v>No</v>
          </cell>
          <cell r="C4">
            <v>2</v>
          </cell>
          <cell r="D4" t="str">
            <v>Andrea Grabham</v>
          </cell>
          <cell r="F4" t="str">
            <v>Medium</v>
          </cell>
          <cell r="G4" t="str">
            <v>Closed</v>
          </cell>
          <cell r="I4">
            <v>0.05</v>
          </cell>
          <cell r="J4" t="str">
            <v>Approved, with conditions</v>
          </cell>
          <cell r="L4" t="str">
            <v>C&amp;M - Marketing and Stakeholder Comms</v>
          </cell>
          <cell r="O4" t="str">
            <v>Fail</v>
          </cell>
        </row>
        <row r="5">
          <cell r="C5">
            <v>3</v>
          </cell>
          <cell r="D5" t="str">
            <v>Ioanna Rossi</v>
          </cell>
          <cell r="F5" t="str">
            <v>High</v>
          </cell>
          <cell r="G5" t="str">
            <v>Suspended</v>
          </cell>
          <cell r="I5">
            <v>0.1</v>
          </cell>
          <cell r="J5" t="str">
            <v>Approved, with cctions</v>
          </cell>
          <cell r="L5" t="str">
            <v>C&amp;M - News</v>
          </cell>
        </row>
        <row r="6">
          <cell r="C6">
            <v>4</v>
          </cell>
          <cell r="D6" t="str">
            <v>Olaf Pool</v>
          </cell>
          <cell r="I6">
            <v>0.15</v>
          </cell>
          <cell r="J6" t="str">
            <v>Approved with actions &amp; conditions</v>
          </cell>
          <cell r="L6" t="str">
            <v>C&amp;M - Public Affairs</v>
          </cell>
        </row>
        <row r="7">
          <cell r="C7">
            <v>5</v>
          </cell>
          <cell r="D7" t="str">
            <v>John Mercer</v>
          </cell>
          <cell r="I7">
            <v>0.2</v>
          </cell>
          <cell r="J7" t="str">
            <v>Approved, amendments needed</v>
          </cell>
          <cell r="L7" t="str">
            <v>DDE - Design Strategy and Planning - Design</v>
          </cell>
        </row>
        <row r="8">
          <cell r="C8">
            <v>6</v>
          </cell>
          <cell r="D8" t="str">
            <v>Joseph Uwagba</v>
          </cell>
          <cell r="I8">
            <v>0.25</v>
          </cell>
          <cell r="J8" t="str">
            <v>Recommend</v>
          </cell>
          <cell r="L8" t="str">
            <v>DDE - Design Strategy and Planning - Environment and Sustainable Strategy</v>
          </cell>
        </row>
        <row r="9">
          <cell r="C9">
            <v>7</v>
          </cell>
          <cell r="D9" t="str">
            <v>Ray Anderson</v>
          </cell>
          <cell r="I9">
            <v>0.3</v>
          </cell>
          <cell r="J9" t="str">
            <v>Recommend, with conditions</v>
          </cell>
          <cell r="L9" t="str">
            <v>DDE - Design Strategy and Planning - Planning and Strategy</v>
          </cell>
        </row>
        <row r="10">
          <cell r="C10">
            <v>8</v>
          </cell>
          <cell r="D10" t="str">
            <v>Mike Charlton</v>
          </cell>
          <cell r="I10">
            <v>0.35</v>
          </cell>
          <cell r="J10" t="str">
            <v>Recommended with actions</v>
          </cell>
          <cell r="L10" t="str">
            <v>DDE - Land and Development - Development</v>
          </cell>
        </row>
        <row r="11">
          <cell r="C11">
            <v>9</v>
          </cell>
          <cell r="D11" t="str">
            <v>Mike Reynolds</v>
          </cell>
          <cell r="I11">
            <v>0.4</v>
          </cell>
          <cell r="J11" t="str">
            <v>Recommended with actions &amp; conditions</v>
          </cell>
          <cell r="L11" t="str">
            <v>DDE - Land and Development - Estates Management</v>
          </cell>
        </row>
        <row r="12">
          <cell r="C12">
            <v>10</v>
          </cell>
          <cell r="D12" t="str">
            <v>Richard England</v>
          </cell>
          <cell r="I12">
            <v>0.45</v>
          </cell>
          <cell r="J12" t="str">
            <v>Rejected</v>
          </cell>
          <cell r="L12" t="str">
            <v>DDE - Land and Development - Planning</v>
          </cell>
        </row>
        <row r="13">
          <cell r="C13">
            <v>11</v>
          </cell>
          <cell r="D13" t="str">
            <v>Robert Elvin</v>
          </cell>
          <cell r="I13">
            <v>0.5</v>
          </cell>
          <cell r="J13" t="str">
            <v>Deferred</v>
          </cell>
          <cell r="L13" t="str">
            <v>DDE - Project Delivery - Environmental and Energy P's &amp; P's</v>
          </cell>
        </row>
        <row r="14">
          <cell r="C14">
            <v>12</v>
          </cell>
          <cell r="D14" t="str">
            <v>Robert Silverman</v>
          </cell>
          <cell r="I14">
            <v>0.55000000000000004</v>
          </cell>
          <cell r="J14" t="str">
            <v>For Decision</v>
          </cell>
          <cell r="L14" t="str">
            <v>DDE - Project Delivery - General P's &amp; P's</v>
          </cell>
        </row>
        <row r="15">
          <cell r="C15">
            <v>13</v>
          </cell>
          <cell r="D15" t="str">
            <v>Jerry Smith</v>
          </cell>
          <cell r="I15">
            <v>0.6</v>
          </cell>
          <cell r="J15" t="str">
            <v>For Information Only</v>
          </cell>
          <cell r="L15" t="str">
            <v>DDE - Project Delivery - Systems</v>
          </cell>
        </row>
        <row r="16">
          <cell r="C16">
            <v>14</v>
          </cell>
          <cell r="D16" t="str">
            <v>Andrew Amoah</v>
          </cell>
          <cell r="I16">
            <v>0.65</v>
          </cell>
          <cell r="L16" t="str">
            <v>DDE - Support Services</v>
          </cell>
        </row>
        <row r="17">
          <cell r="C17">
            <v>15</v>
          </cell>
          <cell r="D17" t="str">
            <v>Andrew Paper</v>
          </cell>
          <cell r="I17">
            <v>0.7</v>
          </cell>
          <cell r="L17" t="str">
            <v>JSY - European Programmes - Delivery - ERDF</v>
          </cell>
        </row>
        <row r="18">
          <cell r="C18">
            <v>16</v>
          </cell>
          <cell r="D18" t="str">
            <v>Richard England</v>
          </cell>
          <cell r="I18">
            <v>0.75</v>
          </cell>
          <cell r="L18" t="str">
            <v>JSY - European Programmes - Development - ERDF</v>
          </cell>
        </row>
        <row r="19">
          <cell r="C19">
            <v>17</v>
          </cell>
          <cell r="D19" t="str">
            <v>Tom McGrath</v>
          </cell>
          <cell r="I19">
            <v>0.8</v>
          </cell>
          <cell r="L19" t="str">
            <v>JSY - European Programmes - ESF</v>
          </cell>
        </row>
        <row r="20">
          <cell r="C20">
            <v>18</v>
          </cell>
          <cell r="D20" t="str">
            <v>Adrian Brooks</v>
          </cell>
          <cell r="I20">
            <v>0.85</v>
          </cell>
          <cell r="L20" t="str">
            <v>JSY - European Programmes - Finance - ERDF</v>
          </cell>
        </row>
        <row r="21">
          <cell r="C21">
            <v>19</v>
          </cell>
          <cell r="D21" t="str">
            <v>Adam Hastie</v>
          </cell>
          <cell r="I21">
            <v>0.9</v>
          </cell>
          <cell r="L21" t="str">
            <v>JSY - Business Jobs and International - Business Development</v>
          </cell>
        </row>
        <row r="22">
          <cell r="C22">
            <v>20</v>
          </cell>
          <cell r="D22" t="str">
            <v>Dominic Nesbit</v>
          </cell>
          <cell r="I22">
            <v>0.95</v>
          </cell>
          <cell r="L22" t="str">
            <v>JSY - Business Jobs and International - Business Research</v>
          </cell>
        </row>
        <row r="23">
          <cell r="C23">
            <v>21</v>
          </cell>
          <cell r="I23">
            <v>1</v>
          </cell>
          <cell r="L23" t="str">
            <v>JSY - Business Jobs and International - Global Competitivness</v>
          </cell>
        </row>
        <row r="24">
          <cell r="C24">
            <v>22</v>
          </cell>
          <cell r="L24" t="str">
            <v>JSY - Contracts Management - Global Competitiveness and Business Finance</v>
          </cell>
        </row>
        <row r="25">
          <cell r="C25">
            <v>23</v>
          </cell>
          <cell r="L25" t="str">
            <v>JSY - Contracts Management - Youth and Childcare</v>
          </cell>
        </row>
        <row r="26">
          <cell r="C26">
            <v>24</v>
          </cell>
          <cell r="L26" t="str">
            <v>JSY - Contracts Management - ESF</v>
          </cell>
        </row>
        <row r="27">
          <cell r="C27">
            <v>25</v>
          </cell>
          <cell r="L27" t="str">
            <v>JSY - Contracts Management - Business Link and Business Growth</v>
          </cell>
        </row>
        <row r="28">
          <cell r="C28">
            <v>26</v>
          </cell>
          <cell r="L28" t="str">
            <v>JSY - Contracts Management - Skills</v>
          </cell>
        </row>
        <row r="29">
          <cell r="C29">
            <v>27</v>
          </cell>
          <cell r="L29" t="str">
            <v>JSY - Contracts Management - Quality Risk and Reporting Manager</v>
          </cell>
        </row>
        <row r="30">
          <cell r="C30">
            <v>28</v>
          </cell>
          <cell r="L30" t="str">
            <v>JSY - Equalities and Diversity - Diversity Works in London</v>
          </cell>
        </row>
        <row r="31">
          <cell r="C31">
            <v>29</v>
          </cell>
          <cell r="L31" t="str">
            <v>JSY - Equalities and Diversity - Mainstream</v>
          </cell>
        </row>
        <row r="32">
          <cell r="C32">
            <v>30</v>
          </cell>
          <cell r="L32" t="str">
            <v>JSY - Skills and Youth - Youth and Childcare</v>
          </cell>
        </row>
        <row r="33">
          <cell r="C33">
            <v>31</v>
          </cell>
          <cell r="L33" t="str">
            <v>JSY - Skills and Youth - Labour Market Strategy</v>
          </cell>
        </row>
        <row r="34">
          <cell r="C34">
            <v>32</v>
          </cell>
          <cell r="L34" t="str">
            <v>JSY - Skills and Youth - Skills Development</v>
          </cell>
        </row>
        <row r="35">
          <cell r="C35">
            <v>33</v>
          </cell>
          <cell r="L35" t="str">
            <v>JSY - Skills and Youth</v>
          </cell>
        </row>
        <row r="36">
          <cell r="C36">
            <v>34</v>
          </cell>
          <cell r="L36" t="str">
            <v>JSY - LSEB</v>
          </cell>
        </row>
        <row r="37">
          <cell r="C37">
            <v>35</v>
          </cell>
          <cell r="L37" t="str">
            <v>JSY - Human Resourses and Organisational Development</v>
          </cell>
        </row>
        <row r="38">
          <cell r="C38">
            <v>36</v>
          </cell>
          <cell r="L38" t="str">
            <v>JSY - Skills and Youth - Non Established</v>
          </cell>
        </row>
        <row r="39">
          <cell r="C39">
            <v>37</v>
          </cell>
          <cell r="L39" t="str">
            <v>JSY - Business Jobs and Internalional - Non Established</v>
          </cell>
        </row>
        <row r="40">
          <cell r="C40">
            <v>38</v>
          </cell>
          <cell r="L40" t="str">
            <v>JSY - BBE Executive</v>
          </cell>
        </row>
        <row r="41">
          <cell r="C41">
            <v>39</v>
          </cell>
          <cell r="L41" t="str">
            <v>L&amp;G - Commercial Law</v>
          </cell>
        </row>
        <row r="42">
          <cell r="C42">
            <v>40</v>
          </cell>
          <cell r="L42" t="str">
            <v>L&amp;G - Governance</v>
          </cell>
        </row>
        <row r="43">
          <cell r="C43">
            <v>41</v>
          </cell>
          <cell r="L43" t="str">
            <v>L&amp;G - Projects Planning Property</v>
          </cell>
        </row>
        <row r="44">
          <cell r="C44">
            <v>42</v>
          </cell>
          <cell r="L44" t="str">
            <v>L&amp;G - Public and Corporate Law</v>
          </cell>
        </row>
        <row r="45">
          <cell r="C45">
            <v>43</v>
          </cell>
          <cell r="L45" t="str">
            <v>SRP - Corporate Strategy - Economic Analysis</v>
          </cell>
        </row>
        <row r="46">
          <cell r="C46">
            <v>44</v>
          </cell>
          <cell r="L46" t="str">
            <v>SRP - Corporate Strategy - Partnership Development</v>
          </cell>
        </row>
        <row r="47">
          <cell r="C47">
            <v>45</v>
          </cell>
          <cell r="L47" t="str">
            <v>SRP - Corporate Strategy - Strategy and Business Planning</v>
          </cell>
        </row>
        <row r="48">
          <cell r="C48">
            <v>46</v>
          </cell>
          <cell r="L48" t="str">
            <v>SRP - Finance and Performance - Audit and Assurance</v>
          </cell>
        </row>
        <row r="49">
          <cell r="C49">
            <v>47</v>
          </cell>
          <cell r="L49" t="str">
            <v>SRP - Finance and Performance - Corporate PMO</v>
          </cell>
        </row>
        <row r="50">
          <cell r="C50">
            <v>48</v>
          </cell>
          <cell r="L50" t="str">
            <v>SRP - Finance and Performance - Finance</v>
          </cell>
        </row>
        <row r="51">
          <cell r="C51">
            <v>49</v>
          </cell>
          <cell r="L51" t="str">
            <v>SRP - IMT - Health and Safety</v>
          </cell>
        </row>
        <row r="52">
          <cell r="C52">
            <v>50</v>
          </cell>
          <cell r="L52" t="str">
            <v>SRP - IMT - Delivery</v>
          </cell>
        </row>
        <row r="53">
          <cell r="L53" t="str">
            <v>SRP - IMT - Information Manangement</v>
          </cell>
        </row>
        <row r="54">
          <cell r="L54" t="str">
            <v>SRP - IMT - BIS System Programme</v>
          </cell>
        </row>
        <row r="55">
          <cell r="L55" t="str">
            <v>SRP - IMT - Facilities</v>
          </cell>
        </row>
        <row r="56">
          <cell r="L56" t="str">
            <v>SRP - Procurement</v>
          </cell>
        </row>
        <row r="57">
          <cell r="L57" t="str">
            <v>SRP - Inmrovement Programme</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Foreca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
      <sheetName val="Version History"/>
      <sheetName val="ABC - Activity Weights"/>
      <sheetName val="Monetary Control totals"/>
      <sheetName val="Variable Data"/>
      <sheetName val="updated var data"/>
      <sheetName val="Regression Coeffs"/>
      <sheetName val="Workload - Crime"/>
      <sheetName val="Workload - Incidents"/>
      <sheetName val="Workload - FOC"/>
      <sheetName val="Workload - Traffic"/>
      <sheetName val="Workload - Special Events"/>
      <sheetName val="Sparsity Top Up"/>
      <sheetName val="Workload - Security"/>
      <sheetName val="Coeffs Step1"/>
      <sheetName val="Allocations Step1"/>
      <sheetName val="Coeffs Step2"/>
      <sheetName val="Allocations Step2"/>
      <sheetName val="Allocations_Police Grant Report"/>
      <sheetName val="Coefficients_PG Report"/>
    </sheetNames>
    <sheetDataSet>
      <sheetData sheetId="0" refreshError="1"/>
      <sheetData sheetId="1" refreshError="1"/>
      <sheetData sheetId="2" refreshError="1"/>
      <sheetData sheetId="3">
        <row r="19">
          <cell r="B19">
            <v>10000000000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Project Timeline"/>
      <sheetName val="calcs"/>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B10">
            <v>-2</v>
          </cell>
        </row>
      </sheetData>
      <sheetData sheetId="2"/>
      <sheetData sheetId="3">
        <row r="10">
          <cell r="A10">
            <v>1982</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or and Creditor"/>
      <sheetName val="Consolidation I&amp;E"/>
      <sheetName val="I&amp;E SoA"/>
      <sheetName val="I&amp;E Group"/>
      <sheetName val="Consolidation BS"/>
      <sheetName val="Balance Sheet SoA"/>
      <sheetName val="Balance Sheet Group"/>
      <sheetName val="Consolidation STRGL"/>
      <sheetName val="Group STRGL et al"/>
      <sheetName val="LBTH Cashflow SoA"/>
      <sheetName val="LBTH Cashflow Rec"/>
      <sheetName val="Group Cashflow SoA"/>
      <sheetName val="Consolidation Cash Flow"/>
      <sheetName val="Group Notes SoA"/>
      <sheetName val="Ad Hoc Recharges"/>
      <sheetName val="All SLA's"/>
      <sheetName val="Trial Bal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RGL  SoA"/>
      <sheetName val="PPA's"/>
      <sheetName val="I&amp;E SoA"/>
      <sheetName val="Revaluation Reserve SoA"/>
      <sheetName val="Fixed Assets Reval"/>
      <sheetName val="Pension Movement"/>
      <sheetName val="FRS17 SoA"/>
      <sheetName val="Collection Fund SoA"/>
      <sheetName val="SMGFB "/>
      <sheetName val="SMGFB revised"/>
      <sheetName val="SMGFB"/>
      <sheetName val="Working Paper "/>
      <sheetName val="TB Final"/>
      <sheetName val="SMGFB Rec"/>
      <sheetName val="SMGFB Reconciliation"/>
      <sheetName val="SMGFB Rec Revised"/>
      <sheetName val="HRA I&amp;E"/>
      <sheetName val="SMHRA"/>
      <sheetName val="SMHRA Reconciliation"/>
      <sheetName val="Gain loss on disposal"/>
      <sheetName val="collection fund (2)"/>
      <sheetName val="HRA movmt pg 65"/>
      <sheetName val="CAA, CRR,DCR SoA"/>
      <sheetName val="CAA"/>
      <sheetName val="Major Repairs Reserve SoA"/>
      <sheetName val="FIAA"/>
      <sheetName val="Balance Sheet SoA"/>
      <sheetName val="Balance Sheet"/>
      <sheetName val="Reconciliation analysis"/>
      <sheetName val="WP2"/>
      <sheetName val="WP2 17 June"/>
      <sheetName val="Working papr"/>
      <sheetName val="Deferred Capital Receipts SoA"/>
      <sheetName val="Capital receipts reserve"/>
      <sheetName val="Schools adjust"/>
      <sheetName val="Emkd Reserves TB"/>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NNDR1 Form"/>
      <sheetName val="Validation"/>
      <sheetName val="Supplementary Information"/>
      <sheetName val="Supplementary Validation"/>
      <sheetName val="Parameters"/>
      <sheetName val="DATA"/>
      <sheetName val="TierSplit"/>
    </sheetNames>
    <sheetDataSet>
      <sheetData sheetId="0" refreshError="1"/>
      <sheetData sheetId="1"/>
      <sheetData sheetId="2">
        <row r="1">
          <cell r="C1" t="str">
            <v>City of London</v>
          </cell>
        </row>
      </sheetData>
      <sheetData sheetId="3">
        <row r="25">
          <cell r="H25">
            <v>213</v>
          </cell>
        </row>
      </sheetData>
      <sheetData sheetId="4" refreshError="1"/>
      <sheetData sheetId="5" refreshError="1"/>
      <sheetData sheetId="6">
        <row r="8">
          <cell r="A8">
            <v>1</v>
          </cell>
        </row>
      </sheetData>
      <sheetData sheetId="7">
        <row r="2">
          <cell r="E2">
            <v>0.5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sheetName val="Bal"/>
      <sheetName val="Upload (2)"/>
      <sheetName val="VAT"/>
      <sheetName val="Paydif"/>
      <sheetName val="DDs "/>
      <sheetName val="Payroll"/>
      <sheetName val="Budget FY"/>
      <sheetName val="CC Totals"/>
      <sheetName val="Budget Mar"/>
      <sheetName val="Upload"/>
      <sheetName val="last one"/>
      <sheetName val="all"/>
      <sheetName val="mary"/>
      <sheetName val="ruth"/>
      <sheetName val="rich"/>
      <sheetName val="fred"/>
      <sheetName val="Barry"/>
      <sheetName val="jnl for fin 1872"/>
    </sheetNames>
    <sheetDataSet>
      <sheetData sheetId="0"/>
      <sheetData sheetId="1"/>
      <sheetData sheetId="2" refreshError="1"/>
      <sheetData sheetId="3" refreshError="1"/>
      <sheetData sheetId="4" refreshError="1"/>
      <sheetData sheetId="5" refreshError="1"/>
      <sheetData sheetId="6" refreshError="1"/>
      <sheetData sheetId="7" refreshError="1">
        <row r="7">
          <cell r="A7">
            <v>80000</v>
          </cell>
          <cell r="B7" t="str">
            <v xml:space="preserve">   80000  Alice Model Delegated</v>
          </cell>
          <cell r="C7">
            <v>138200</v>
          </cell>
          <cell r="D7">
            <v>527300</v>
          </cell>
          <cell r="E7">
            <v>65187.5</v>
          </cell>
          <cell r="F7">
            <v>730687.5</v>
          </cell>
        </row>
        <row r="8">
          <cell r="A8">
            <v>80005</v>
          </cell>
          <cell r="B8" t="str">
            <v xml:space="preserve">   80005  Childrens House Delegated</v>
          </cell>
          <cell r="C8">
            <v>117700</v>
          </cell>
          <cell r="D8">
            <v>561500</v>
          </cell>
          <cell r="E8">
            <v>76602.62</v>
          </cell>
          <cell r="F8">
            <v>755802.62</v>
          </cell>
        </row>
        <row r="9">
          <cell r="A9">
            <v>80010</v>
          </cell>
          <cell r="B9" t="str">
            <v xml:space="preserve">   80010  Columbia Market Delegated</v>
          </cell>
          <cell r="C9">
            <v>295300</v>
          </cell>
          <cell r="D9">
            <v>622500</v>
          </cell>
          <cell r="E9">
            <v>70907</v>
          </cell>
          <cell r="F9">
            <v>988707</v>
          </cell>
        </row>
        <row r="10">
          <cell r="A10">
            <v>80020</v>
          </cell>
          <cell r="B10" t="str">
            <v xml:space="preserve">   80020  Harry Roberts Delegated</v>
          </cell>
          <cell r="C10">
            <v>302800</v>
          </cell>
          <cell r="D10">
            <v>665900</v>
          </cell>
          <cell r="E10">
            <v>82555</v>
          </cell>
          <cell r="F10">
            <v>1051255</v>
          </cell>
        </row>
        <row r="11">
          <cell r="A11">
            <v>80025</v>
          </cell>
          <cell r="B11" t="str">
            <v xml:space="preserve">   80025  Old Church Delegated</v>
          </cell>
          <cell r="C11">
            <v>260700</v>
          </cell>
          <cell r="D11">
            <v>790100</v>
          </cell>
          <cell r="E11">
            <v>88078.5</v>
          </cell>
          <cell r="F11">
            <v>1138878.5</v>
          </cell>
        </row>
        <row r="12">
          <cell r="A12">
            <v>80030</v>
          </cell>
          <cell r="B12" t="str">
            <v xml:space="preserve">   80030  Rachel Keeling Delegated</v>
          </cell>
          <cell r="C12">
            <v>156800</v>
          </cell>
          <cell r="D12">
            <v>619800</v>
          </cell>
          <cell r="E12">
            <v>73209.75</v>
          </cell>
          <cell r="F12">
            <v>849809.75</v>
          </cell>
        </row>
        <row r="13">
          <cell r="A13">
            <v>80050</v>
          </cell>
          <cell r="B13" t="str">
            <v xml:space="preserve">   80050  Bangabandhu Delegated</v>
          </cell>
          <cell r="C13">
            <v>206700</v>
          </cell>
          <cell r="D13">
            <v>2558700</v>
          </cell>
          <cell r="E13">
            <v>317172.87</v>
          </cell>
          <cell r="F13">
            <v>3082572.87</v>
          </cell>
        </row>
        <row r="14">
          <cell r="A14">
            <v>80055</v>
          </cell>
          <cell r="B14" t="str">
            <v xml:space="preserve">   80055  Ben Jonson Delegated</v>
          </cell>
          <cell r="C14">
            <v>294100</v>
          </cell>
          <cell r="D14">
            <v>2111000</v>
          </cell>
          <cell r="E14">
            <v>275287.56</v>
          </cell>
          <cell r="F14">
            <v>2680387.56</v>
          </cell>
        </row>
        <row r="15">
          <cell r="A15">
            <v>80060</v>
          </cell>
          <cell r="B15" t="str">
            <v xml:space="preserve">   80060  Bigland Green Delegated</v>
          </cell>
          <cell r="C15">
            <v>187500</v>
          </cell>
          <cell r="D15">
            <v>2394400</v>
          </cell>
          <cell r="E15">
            <v>291611</v>
          </cell>
          <cell r="F15">
            <v>2873511</v>
          </cell>
        </row>
        <row r="16">
          <cell r="A16">
            <v>80065</v>
          </cell>
          <cell r="B16" t="str">
            <v xml:space="preserve">   80065  Blue Gate Fields Inf Delegated</v>
          </cell>
          <cell r="C16">
            <v>556000</v>
          </cell>
          <cell r="D16">
            <v>1708100</v>
          </cell>
          <cell r="E16">
            <v>208474.37</v>
          </cell>
          <cell r="F16">
            <v>2472574.37</v>
          </cell>
        </row>
        <row r="17">
          <cell r="A17">
            <v>80070</v>
          </cell>
          <cell r="B17" t="str">
            <v xml:space="preserve">   80070  Blue Gate Fields Jun Delegated</v>
          </cell>
          <cell r="C17">
            <v>75400</v>
          </cell>
          <cell r="D17">
            <v>1541100</v>
          </cell>
          <cell r="E17">
            <v>275876</v>
          </cell>
          <cell r="F17">
            <v>1892376</v>
          </cell>
        </row>
        <row r="18">
          <cell r="A18">
            <v>80075</v>
          </cell>
          <cell r="B18" t="str">
            <v xml:space="preserve">   80075  Bonner Delegated</v>
          </cell>
          <cell r="C18">
            <v>80800</v>
          </cell>
          <cell r="D18">
            <v>2077800</v>
          </cell>
          <cell r="E18">
            <v>207538.12</v>
          </cell>
          <cell r="F18">
            <v>2366138.12</v>
          </cell>
        </row>
        <row r="19">
          <cell r="A19">
            <v>80080</v>
          </cell>
          <cell r="B19" t="str">
            <v xml:space="preserve">   80080  Bygrove Delegated</v>
          </cell>
          <cell r="C19">
            <v>63900</v>
          </cell>
          <cell r="D19">
            <v>1331300</v>
          </cell>
          <cell r="E19">
            <v>180355</v>
          </cell>
          <cell r="F19">
            <v>1575555</v>
          </cell>
        </row>
        <row r="20">
          <cell r="A20">
            <v>80085</v>
          </cell>
          <cell r="B20" t="str">
            <v xml:space="preserve">   80085  Canon Barnett Delegated</v>
          </cell>
          <cell r="C20">
            <v>385800</v>
          </cell>
          <cell r="D20">
            <v>1252300</v>
          </cell>
          <cell r="E20">
            <v>171114.25</v>
          </cell>
          <cell r="F20">
            <v>1809214.25</v>
          </cell>
        </row>
        <row r="21">
          <cell r="A21">
            <v>80090</v>
          </cell>
          <cell r="B21" t="str">
            <v xml:space="preserve">   80090  Cayley Delegated</v>
          </cell>
          <cell r="C21">
            <v>50900</v>
          </cell>
          <cell r="D21">
            <v>2300700</v>
          </cell>
          <cell r="E21">
            <v>359135.75</v>
          </cell>
          <cell r="F21">
            <v>2710735.75</v>
          </cell>
        </row>
        <row r="22">
          <cell r="A22">
            <v>80095</v>
          </cell>
          <cell r="B22" t="str">
            <v xml:space="preserve">   80095  Chisenhale Delegated</v>
          </cell>
          <cell r="C22">
            <v>169200</v>
          </cell>
          <cell r="D22">
            <v>1766100</v>
          </cell>
          <cell r="E22">
            <v>214564.62</v>
          </cell>
          <cell r="F22">
            <v>2149864.62</v>
          </cell>
        </row>
        <row r="23">
          <cell r="A23">
            <v>80100</v>
          </cell>
          <cell r="B23" t="str">
            <v xml:space="preserve">   80100  Christchurch Delegated</v>
          </cell>
          <cell r="C23">
            <v>102200</v>
          </cell>
          <cell r="D23">
            <v>803800</v>
          </cell>
          <cell r="E23">
            <v>127113</v>
          </cell>
          <cell r="F23">
            <v>1033113</v>
          </cell>
        </row>
        <row r="24">
          <cell r="A24">
            <v>80105</v>
          </cell>
          <cell r="B24" t="str">
            <v xml:space="preserve">   80105  Clara Grant Delegated</v>
          </cell>
          <cell r="C24">
            <v>460700</v>
          </cell>
          <cell r="D24">
            <v>2251400</v>
          </cell>
          <cell r="E24">
            <v>309234.62</v>
          </cell>
          <cell r="F24">
            <v>3021334.62</v>
          </cell>
        </row>
        <row r="25">
          <cell r="A25">
            <v>80110</v>
          </cell>
          <cell r="B25" t="str">
            <v xml:space="preserve">   80110  Columbia Delegated</v>
          </cell>
          <cell r="C25">
            <v>230600</v>
          </cell>
          <cell r="D25">
            <v>1930700</v>
          </cell>
          <cell r="E25">
            <v>321731</v>
          </cell>
          <cell r="F25">
            <v>2483031</v>
          </cell>
        </row>
        <row r="26">
          <cell r="A26">
            <v>80115</v>
          </cell>
          <cell r="B26" t="str">
            <v xml:space="preserve">   80115  Cubitt Town Infants Delegated</v>
          </cell>
          <cell r="C26">
            <v>253200</v>
          </cell>
          <cell r="D26">
            <v>1379600</v>
          </cell>
          <cell r="E26">
            <v>141937.5</v>
          </cell>
          <cell r="F26">
            <v>1774737.5</v>
          </cell>
        </row>
        <row r="27">
          <cell r="A27">
            <v>80120</v>
          </cell>
          <cell r="B27" t="str">
            <v xml:space="preserve">   80120  Cubitt Town Junior Delegated</v>
          </cell>
          <cell r="C27">
            <v>366100</v>
          </cell>
          <cell r="D27">
            <v>1622300</v>
          </cell>
          <cell r="E27">
            <v>236732.12</v>
          </cell>
          <cell r="F27">
            <v>2225132.12</v>
          </cell>
        </row>
        <row r="28">
          <cell r="A28">
            <v>80125</v>
          </cell>
          <cell r="B28" t="str">
            <v xml:space="preserve">   80125  Culloden Delegated</v>
          </cell>
          <cell r="C28">
            <v>424500</v>
          </cell>
          <cell r="D28">
            <v>2745500</v>
          </cell>
          <cell r="E28">
            <v>277475.37</v>
          </cell>
          <cell r="F28">
            <v>3447475.37</v>
          </cell>
        </row>
        <row r="29">
          <cell r="A29">
            <v>80130</v>
          </cell>
          <cell r="B29" t="str">
            <v xml:space="preserve">   80130  Cyril Jackson Delegated</v>
          </cell>
          <cell r="C29">
            <v>794200</v>
          </cell>
          <cell r="D29">
            <v>2529400</v>
          </cell>
          <cell r="E29">
            <v>387327</v>
          </cell>
          <cell r="F29">
            <v>3710927</v>
          </cell>
        </row>
        <row r="30">
          <cell r="A30">
            <v>80135</v>
          </cell>
          <cell r="B30" t="str">
            <v xml:space="preserve">   80135  Elizabeth Selby Delegated</v>
          </cell>
          <cell r="C30">
            <v>174500</v>
          </cell>
          <cell r="D30">
            <v>1410500</v>
          </cell>
          <cell r="E30">
            <v>168170.75</v>
          </cell>
          <cell r="F30">
            <v>1753170.75</v>
          </cell>
        </row>
        <row r="31">
          <cell r="A31">
            <v>80140</v>
          </cell>
          <cell r="B31" t="str">
            <v xml:space="preserve">   80140  English Martyrs Delegated</v>
          </cell>
          <cell r="C31">
            <v>82000</v>
          </cell>
          <cell r="D31">
            <v>1027000</v>
          </cell>
          <cell r="E31">
            <v>121323</v>
          </cell>
          <cell r="F31">
            <v>1230323</v>
          </cell>
        </row>
        <row r="32">
          <cell r="A32">
            <v>80145</v>
          </cell>
          <cell r="B32" t="str">
            <v xml:space="preserve">   80145  Globe Delegated</v>
          </cell>
          <cell r="C32">
            <v>354700</v>
          </cell>
          <cell r="D32">
            <v>2019600</v>
          </cell>
          <cell r="E32">
            <v>271797.75</v>
          </cell>
          <cell r="F32">
            <v>2646097.75</v>
          </cell>
        </row>
        <row r="33">
          <cell r="A33">
            <v>80150</v>
          </cell>
          <cell r="B33" t="str">
            <v xml:space="preserve">   80150  Guardian Angels Delegated</v>
          </cell>
          <cell r="C33">
            <v>116000</v>
          </cell>
          <cell r="D33">
            <v>987900</v>
          </cell>
          <cell r="E33">
            <v>124250</v>
          </cell>
          <cell r="F33">
            <v>1228150</v>
          </cell>
        </row>
        <row r="34">
          <cell r="A34">
            <v>80155</v>
          </cell>
          <cell r="B34" t="str">
            <v xml:space="preserve">   80155  Hague Delegated</v>
          </cell>
          <cell r="C34">
            <v>253000</v>
          </cell>
          <cell r="D34">
            <v>1289700</v>
          </cell>
          <cell r="E34">
            <v>174241.5</v>
          </cell>
          <cell r="F34">
            <v>1716941.5</v>
          </cell>
        </row>
        <row r="35">
          <cell r="A35">
            <v>80160</v>
          </cell>
          <cell r="B35" t="str">
            <v xml:space="preserve">   80160  Halley Delegated</v>
          </cell>
          <cell r="C35">
            <v>176800</v>
          </cell>
          <cell r="D35">
            <v>1439500</v>
          </cell>
          <cell r="E35">
            <v>222849.37</v>
          </cell>
          <cell r="F35">
            <v>1839149.37</v>
          </cell>
        </row>
        <row r="36">
          <cell r="A36">
            <v>80165</v>
          </cell>
          <cell r="B36" t="str">
            <v xml:space="preserve">   80165  Harbinger Delegated</v>
          </cell>
          <cell r="C36">
            <v>342400</v>
          </cell>
          <cell r="D36">
            <v>1577500</v>
          </cell>
          <cell r="E36">
            <v>188255.25</v>
          </cell>
          <cell r="F36">
            <v>2108155.25</v>
          </cell>
        </row>
        <row r="37">
          <cell r="A37">
            <v>80180</v>
          </cell>
          <cell r="B37" t="str">
            <v xml:space="preserve">   80180  Hermitage Delegated</v>
          </cell>
          <cell r="C37">
            <v>377600</v>
          </cell>
          <cell r="D37">
            <v>1240200</v>
          </cell>
          <cell r="E37">
            <v>175429.25</v>
          </cell>
          <cell r="F37">
            <v>1793229.25</v>
          </cell>
        </row>
        <row r="38">
          <cell r="A38">
            <v>80185</v>
          </cell>
          <cell r="B38" t="str">
            <v xml:space="preserve">   80185  Holy Family Delegated</v>
          </cell>
          <cell r="C38">
            <v>181900</v>
          </cell>
          <cell r="D38">
            <v>1223300</v>
          </cell>
          <cell r="E38">
            <v>119923</v>
          </cell>
          <cell r="F38">
            <v>1525123</v>
          </cell>
        </row>
        <row r="39">
          <cell r="A39">
            <v>80190</v>
          </cell>
          <cell r="B39" t="str">
            <v xml:space="preserve">   80190  John Scurr Delegated</v>
          </cell>
          <cell r="C39">
            <v>239400</v>
          </cell>
          <cell r="D39">
            <v>2358600</v>
          </cell>
          <cell r="E39">
            <v>379902.25</v>
          </cell>
          <cell r="F39">
            <v>2977902.25</v>
          </cell>
        </row>
        <row r="40">
          <cell r="A40">
            <v>80195</v>
          </cell>
          <cell r="B40" t="str">
            <v xml:space="preserve">   80195  Lawdale Junior Delegated</v>
          </cell>
          <cell r="C40">
            <v>65500</v>
          </cell>
          <cell r="D40">
            <v>1369400</v>
          </cell>
          <cell r="E40">
            <v>221337.25</v>
          </cell>
          <cell r="F40">
            <v>1656237.25</v>
          </cell>
        </row>
        <row r="41">
          <cell r="A41">
            <v>80210</v>
          </cell>
          <cell r="B41" t="str">
            <v xml:space="preserve">   80210  Manorfields Delegated</v>
          </cell>
          <cell r="C41">
            <v>176300</v>
          </cell>
          <cell r="D41">
            <v>2308700</v>
          </cell>
          <cell r="E41">
            <v>266995.37</v>
          </cell>
          <cell r="F41">
            <v>2751995.37</v>
          </cell>
        </row>
        <row r="42">
          <cell r="A42">
            <v>80215</v>
          </cell>
          <cell r="B42" t="str">
            <v xml:space="preserve">   80215  Marion Richardson Delegated</v>
          </cell>
          <cell r="C42">
            <v>178500</v>
          </cell>
          <cell r="D42">
            <v>2424100</v>
          </cell>
          <cell r="E42">
            <v>305877</v>
          </cell>
          <cell r="F42">
            <v>2908477</v>
          </cell>
        </row>
        <row r="43">
          <cell r="A43">
            <v>80220</v>
          </cell>
          <cell r="B43" t="str">
            <v xml:space="preserve">   80220  Marner Delegated</v>
          </cell>
          <cell r="C43">
            <v>445200</v>
          </cell>
          <cell r="D43">
            <v>1973800</v>
          </cell>
          <cell r="E43">
            <v>309057</v>
          </cell>
          <cell r="F43">
            <v>2728057</v>
          </cell>
        </row>
        <row r="44">
          <cell r="A44">
            <v>80225</v>
          </cell>
          <cell r="B44" t="str">
            <v xml:space="preserve">   80225  Mayflower Delegated</v>
          </cell>
          <cell r="C44">
            <v>100800</v>
          </cell>
          <cell r="D44">
            <v>1765100</v>
          </cell>
          <cell r="E44">
            <v>283907.5</v>
          </cell>
          <cell r="F44">
            <v>2149807.5</v>
          </cell>
        </row>
        <row r="45">
          <cell r="A45">
            <v>80230</v>
          </cell>
          <cell r="B45" t="str">
            <v xml:space="preserve">   80230  Mowlem Delegated</v>
          </cell>
          <cell r="C45">
            <v>70700</v>
          </cell>
          <cell r="D45">
            <v>1161600</v>
          </cell>
          <cell r="E45">
            <v>202883.75</v>
          </cell>
          <cell r="F45">
            <v>1435183.75</v>
          </cell>
        </row>
        <row r="46">
          <cell r="A46">
            <v>80245</v>
          </cell>
          <cell r="B46" t="str">
            <v xml:space="preserve">   80245  Old Palace Delegated</v>
          </cell>
          <cell r="C46">
            <v>432500</v>
          </cell>
          <cell r="D46">
            <v>1952900</v>
          </cell>
          <cell r="E46">
            <v>295720</v>
          </cell>
          <cell r="F46">
            <v>2681120</v>
          </cell>
        </row>
        <row r="47">
          <cell r="A47">
            <v>80250</v>
          </cell>
          <cell r="B47" t="str">
            <v xml:space="preserve">   80250  Olga Delegated</v>
          </cell>
          <cell r="C47">
            <v>197300</v>
          </cell>
          <cell r="D47">
            <v>1293200</v>
          </cell>
          <cell r="E47">
            <v>187553.75</v>
          </cell>
          <cell r="F47">
            <v>1678053.75</v>
          </cell>
        </row>
        <row r="48">
          <cell r="A48">
            <v>80255</v>
          </cell>
          <cell r="B48" t="str">
            <v xml:space="preserve">   80255  Osmani Delegated</v>
          </cell>
          <cell r="C48">
            <v>305500</v>
          </cell>
          <cell r="D48">
            <v>2073400</v>
          </cell>
          <cell r="E48">
            <v>335411.5</v>
          </cell>
          <cell r="F48">
            <v>2714311.5</v>
          </cell>
        </row>
        <row r="49">
          <cell r="A49">
            <v>80260</v>
          </cell>
          <cell r="B49" t="str">
            <v xml:space="preserve">   80260  Our Lady Delegated</v>
          </cell>
          <cell r="C49">
            <v>32000</v>
          </cell>
          <cell r="D49">
            <v>981800</v>
          </cell>
          <cell r="E49">
            <v>109849</v>
          </cell>
          <cell r="F49">
            <v>1123649</v>
          </cell>
        </row>
        <row r="50">
          <cell r="A50">
            <v>80270</v>
          </cell>
          <cell r="B50" t="str">
            <v xml:space="preserve">   80270  Redlands Delegated</v>
          </cell>
          <cell r="C50">
            <v>476600</v>
          </cell>
          <cell r="D50">
            <v>2163700</v>
          </cell>
          <cell r="E50">
            <v>402041.12</v>
          </cell>
          <cell r="F50">
            <v>3042341.12</v>
          </cell>
        </row>
        <row r="51">
          <cell r="A51">
            <v>80275</v>
          </cell>
          <cell r="B51" t="str">
            <v xml:space="preserve">   80275  St Agnes Delegated</v>
          </cell>
          <cell r="C51">
            <v>196100</v>
          </cell>
          <cell r="D51">
            <v>1114200</v>
          </cell>
          <cell r="E51">
            <v>120341</v>
          </cell>
          <cell r="F51">
            <v>1430641</v>
          </cell>
        </row>
        <row r="52">
          <cell r="A52">
            <v>80280</v>
          </cell>
          <cell r="B52" t="str">
            <v xml:space="preserve">   80280  St Anne's Delegated</v>
          </cell>
          <cell r="C52">
            <v>116800</v>
          </cell>
          <cell r="D52">
            <v>1715300</v>
          </cell>
          <cell r="E52">
            <v>212726</v>
          </cell>
          <cell r="F52">
            <v>2044826</v>
          </cell>
        </row>
        <row r="53">
          <cell r="A53">
            <v>80285</v>
          </cell>
          <cell r="B53" t="str">
            <v xml:space="preserve">   80285  St Edmund's Delegated</v>
          </cell>
          <cell r="C53">
            <v>77600</v>
          </cell>
          <cell r="D53">
            <v>1035700</v>
          </cell>
          <cell r="E53">
            <v>163646</v>
          </cell>
          <cell r="F53">
            <v>1276946</v>
          </cell>
        </row>
        <row r="54">
          <cell r="A54">
            <v>80295</v>
          </cell>
          <cell r="B54" t="str">
            <v xml:space="preserve">   80295  St John's Delegated</v>
          </cell>
          <cell r="C54">
            <v>263300</v>
          </cell>
          <cell r="D54">
            <v>1178300</v>
          </cell>
          <cell r="E54">
            <v>109936</v>
          </cell>
          <cell r="F54">
            <v>1551536</v>
          </cell>
        </row>
        <row r="55">
          <cell r="A55">
            <v>80300</v>
          </cell>
          <cell r="B55" t="str">
            <v xml:space="preserve">   80300  St Luke's Delegated</v>
          </cell>
          <cell r="C55">
            <v>198800</v>
          </cell>
          <cell r="D55">
            <v>1187400</v>
          </cell>
          <cell r="E55">
            <v>125586</v>
          </cell>
          <cell r="F55">
            <v>1511786</v>
          </cell>
        </row>
        <row r="56">
          <cell r="A56">
            <v>80315</v>
          </cell>
          <cell r="B56" t="str">
            <v xml:space="preserve">   80315  St Matthias Delegated</v>
          </cell>
          <cell r="C56">
            <v>2800</v>
          </cell>
          <cell r="D56">
            <v>1000100</v>
          </cell>
          <cell r="E56">
            <v>113325</v>
          </cell>
          <cell r="F56">
            <v>1116225</v>
          </cell>
        </row>
        <row r="57">
          <cell r="A57">
            <v>80325</v>
          </cell>
          <cell r="B57" t="str">
            <v xml:space="preserve">   80325  St Paul's Delegated</v>
          </cell>
          <cell r="C57">
            <v>47800</v>
          </cell>
          <cell r="D57">
            <v>1048600</v>
          </cell>
          <cell r="E57">
            <v>136272</v>
          </cell>
          <cell r="F57">
            <v>1232672</v>
          </cell>
        </row>
        <row r="58">
          <cell r="A58">
            <v>80330</v>
          </cell>
          <cell r="B58" t="str">
            <v xml:space="preserve">   80330  St Pauls With St Lukes Delegat</v>
          </cell>
          <cell r="C58">
            <v>134500</v>
          </cell>
          <cell r="D58">
            <v>1289100</v>
          </cell>
          <cell r="E58">
            <v>156575</v>
          </cell>
          <cell r="F58">
            <v>1580175</v>
          </cell>
        </row>
        <row r="59">
          <cell r="A59">
            <v>80335</v>
          </cell>
          <cell r="B59" t="str">
            <v xml:space="preserve">   80335  St Peter's Delegated</v>
          </cell>
          <cell r="C59">
            <v>59600</v>
          </cell>
          <cell r="D59">
            <v>1109900</v>
          </cell>
          <cell r="E59">
            <v>126094</v>
          </cell>
          <cell r="F59">
            <v>1295594</v>
          </cell>
        </row>
        <row r="60">
          <cell r="A60">
            <v>80340</v>
          </cell>
          <cell r="B60" t="str">
            <v xml:space="preserve">   80340  St Saviour's Delegated</v>
          </cell>
          <cell r="C60">
            <v>62000</v>
          </cell>
          <cell r="D60">
            <v>1132100</v>
          </cell>
          <cell r="E60">
            <v>96362</v>
          </cell>
          <cell r="F60">
            <v>1290462</v>
          </cell>
        </row>
        <row r="61">
          <cell r="A61">
            <v>80345</v>
          </cell>
          <cell r="B61" t="str">
            <v xml:space="preserve">   80345  Kobi Nazrul School Delegated</v>
          </cell>
          <cell r="C61">
            <v>373400</v>
          </cell>
          <cell r="D61">
            <v>1181300</v>
          </cell>
          <cell r="E61">
            <v>168342</v>
          </cell>
          <cell r="F61">
            <v>1723042</v>
          </cell>
        </row>
        <row r="62">
          <cell r="A62">
            <v>80350</v>
          </cell>
          <cell r="B62" t="str">
            <v xml:space="preserve">   80350  Seven Mills Delegated</v>
          </cell>
          <cell r="C62">
            <v>159700</v>
          </cell>
          <cell r="D62">
            <v>1244400</v>
          </cell>
          <cell r="E62">
            <v>185862.5</v>
          </cell>
          <cell r="F62">
            <v>1589962.5</v>
          </cell>
        </row>
        <row r="63">
          <cell r="A63">
            <v>80355</v>
          </cell>
          <cell r="B63" t="str">
            <v xml:space="preserve">   80355  Shapla Delegated</v>
          </cell>
          <cell r="C63">
            <v>55300</v>
          </cell>
          <cell r="D63">
            <v>1129200</v>
          </cell>
          <cell r="E63">
            <v>277018.5</v>
          </cell>
          <cell r="F63">
            <v>1461518.5</v>
          </cell>
        </row>
        <row r="64">
          <cell r="A64">
            <v>80360</v>
          </cell>
          <cell r="B64" t="str">
            <v xml:space="preserve">   80360  Sir William Burrough Delegated</v>
          </cell>
          <cell r="C64">
            <v>22300</v>
          </cell>
          <cell r="D64">
            <v>1647500</v>
          </cell>
          <cell r="E64">
            <v>257798.5</v>
          </cell>
          <cell r="F64">
            <v>1927598.5</v>
          </cell>
        </row>
        <row r="65">
          <cell r="A65">
            <v>80365</v>
          </cell>
          <cell r="B65" t="str">
            <v xml:space="preserve">   80365  Smithy School Delegated</v>
          </cell>
          <cell r="C65">
            <v>29400</v>
          </cell>
          <cell r="D65">
            <v>1675400</v>
          </cell>
          <cell r="E65">
            <v>230725.25</v>
          </cell>
          <cell r="F65">
            <v>1935525.25</v>
          </cell>
        </row>
        <row r="66">
          <cell r="A66">
            <v>80370</v>
          </cell>
          <cell r="B66" t="str">
            <v xml:space="preserve">   80370  Stebon Delegated</v>
          </cell>
          <cell r="C66">
            <v>232100</v>
          </cell>
          <cell r="D66">
            <v>2191400</v>
          </cell>
          <cell r="E66">
            <v>290678.5</v>
          </cell>
          <cell r="F66">
            <v>2714178.5</v>
          </cell>
        </row>
        <row r="67">
          <cell r="A67">
            <v>80375</v>
          </cell>
          <cell r="B67" t="str">
            <v xml:space="preserve">   80375  Stepney Greencoats Delegated</v>
          </cell>
          <cell r="C67">
            <v>111400</v>
          </cell>
          <cell r="D67">
            <v>926400</v>
          </cell>
          <cell r="E67">
            <v>130356</v>
          </cell>
          <cell r="F67">
            <v>1168156</v>
          </cell>
        </row>
        <row r="68">
          <cell r="A68">
            <v>80380</v>
          </cell>
          <cell r="B68" t="str">
            <v xml:space="preserve">   80380  Stewart Headlam Delegated</v>
          </cell>
          <cell r="C68">
            <v>248900</v>
          </cell>
          <cell r="D68">
            <v>1884700</v>
          </cell>
          <cell r="E68">
            <v>283904.25</v>
          </cell>
          <cell r="F68">
            <v>2417504.25</v>
          </cell>
        </row>
        <row r="69">
          <cell r="A69">
            <v>80395</v>
          </cell>
          <cell r="B69" t="str">
            <v xml:space="preserve">   80395  Thomas Buxton Inf Delegated</v>
          </cell>
          <cell r="C69">
            <v>176100</v>
          </cell>
          <cell r="D69">
            <v>1098900</v>
          </cell>
          <cell r="E69">
            <v>176002</v>
          </cell>
          <cell r="F69">
            <v>1451002</v>
          </cell>
        </row>
        <row r="70">
          <cell r="A70">
            <v>80400</v>
          </cell>
          <cell r="B70" t="str">
            <v xml:space="preserve">   80400  Thomas Buxton Jun Delegated</v>
          </cell>
          <cell r="C70">
            <v>330100</v>
          </cell>
          <cell r="D70">
            <v>1063800</v>
          </cell>
          <cell r="E70">
            <v>227172.75</v>
          </cell>
          <cell r="F70">
            <v>1621072.75</v>
          </cell>
        </row>
        <row r="71">
          <cell r="A71">
            <v>80405</v>
          </cell>
          <cell r="B71" t="str">
            <v xml:space="preserve">   80405  Virginia Delegated</v>
          </cell>
          <cell r="C71">
            <v>227500</v>
          </cell>
          <cell r="D71">
            <v>1040400</v>
          </cell>
          <cell r="E71">
            <v>160787.5</v>
          </cell>
          <cell r="F71">
            <v>1428687.5</v>
          </cell>
        </row>
        <row r="72">
          <cell r="A72">
            <v>80410</v>
          </cell>
          <cell r="B72" t="str">
            <v xml:space="preserve">   80410  Wellington Delegated</v>
          </cell>
          <cell r="C72">
            <v>310900</v>
          </cell>
          <cell r="D72">
            <v>1674200</v>
          </cell>
          <cell r="E72">
            <v>282453.25</v>
          </cell>
          <cell r="F72">
            <v>2267553.25</v>
          </cell>
        </row>
        <row r="73">
          <cell r="A73">
            <v>80415</v>
          </cell>
          <cell r="B73" t="str">
            <v xml:space="preserve">   80415  William Davis Delegated</v>
          </cell>
          <cell r="C73">
            <v>223000</v>
          </cell>
          <cell r="D73">
            <v>1081600</v>
          </cell>
          <cell r="E73">
            <v>211719.25</v>
          </cell>
          <cell r="F73">
            <v>1516319.25</v>
          </cell>
        </row>
        <row r="74">
          <cell r="A74">
            <v>80420</v>
          </cell>
          <cell r="B74" t="str">
            <v xml:space="preserve">   80420  Woolmore Delegated</v>
          </cell>
          <cell r="C74">
            <v>110500</v>
          </cell>
          <cell r="D74">
            <v>1253700</v>
          </cell>
          <cell r="E74">
            <v>198315.87</v>
          </cell>
          <cell r="F74">
            <v>1562515.87</v>
          </cell>
        </row>
        <row r="75">
          <cell r="A75">
            <v>80425</v>
          </cell>
          <cell r="B75" t="str">
            <v xml:space="preserve">   80425  Arnhem Wharf Delegated</v>
          </cell>
          <cell r="C75">
            <v>408300</v>
          </cell>
          <cell r="D75">
            <v>2267100</v>
          </cell>
          <cell r="E75">
            <v>267287.5</v>
          </cell>
          <cell r="F75">
            <v>2942687.5</v>
          </cell>
        </row>
        <row r="76">
          <cell r="A76">
            <v>80430</v>
          </cell>
          <cell r="B76" t="str">
            <v xml:space="preserve">   80430  Harry Gosling Delegated</v>
          </cell>
          <cell r="C76">
            <v>192100</v>
          </cell>
          <cell r="D76">
            <v>1825400</v>
          </cell>
          <cell r="E76">
            <v>243382.37</v>
          </cell>
          <cell r="F76">
            <v>2260882.37</v>
          </cell>
        </row>
        <row r="77">
          <cell r="A77">
            <v>80435</v>
          </cell>
          <cell r="B77" t="str">
            <v xml:space="preserve">   80435  Old Ford Delegated</v>
          </cell>
          <cell r="C77">
            <v>709900</v>
          </cell>
          <cell r="D77">
            <v>3397100</v>
          </cell>
          <cell r="E77">
            <v>538267.37</v>
          </cell>
          <cell r="F77">
            <v>4645267.37</v>
          </cell>
        </row>
        <row r="78">
          <cell r="A78">
            <v>80440</v>
          </cell>
          <cell r="B78" t="str">
            <v xml:space="preserve">   80440  St Mary &amp; St Michael Delegated</v>
          </cell>
          <cell r="C78">
            <v>70800</v>
          </cell>
          <cell r="D78">
            <v>2060300</v>
          </cell>
          <cell r="E78">
            <v>216385</v>
          </cell>
          <cell r="F78">
            <v>2347485</v>
          </cell>
        </row>
        <row r="79">
          <cell r="A79">
            <v>80445</v>
          </cell>
          <cell r="B79" t="str">
            <v xml:space="preserve">   80445  St Elizabeths PriSch-Delegated</v>
          </cell>
          <cell r="C79">
            <v>103900</v>
          </cell>
          <cell r="D79">
            <v>1799000</v>
          </cell>
          <cell r="E79">
            <v>176385</v>
          </cell>
          <cell r="F79">
            <v>2079285</v>
          </cell>
        </row>
        <row r="80">
          <cell r="A80">
            <v>80450</v>
          </cell>
          <cell r="B80" t="str">
            <v xml:space="preserve">   80450  LansburyLawrence Pri-Delegated</v>
          </cell>
          <cell r="C80">
            <v>355600</v>
          </cell>
          <cell r="D80">
            <v>2552600</v>
          </cell>
          <cell r="E80">
            <v>309138.25</v>
          </cell>
          <cell r="F80">
            <v>3217338.25</v>
          </cell>
        </row>
        <row r="81">
          <cell r="A81">
            <v>80455</v>
          </cell>
          <cell r="B81" t="str">
            <v xml:space="preserve">   80455  Malmesbury Primary-Delegated</v>
          </cell>
          <cell r="C81">
            <v>264100</v>
          </cell>
          <cell r="D81">
            <v>2682500</v>
          </cell>
          <cell r="E81">
            <v>340522.75</v>
          </cell>
          <cell r="F81">
            <v>3287122.75</v>
          </cell>
        </row>
        <row r="82">
          <cell r="A82">
            <v>80500</v>
          </cell>
          <cell r="B82" t="str">
            <v xml:space="preserve">   80500  Bishop Challoner Delegated</v>
          </cell>
          <cell r="C82">
            <v>5300</v>
          </cell>
          <cell r="D82">
            <v>6611800</v>
          </cell>
          <cell r="E82">
            <v>1008725</v>
          </cell>
          <cell r="F82">
            <v>7625825</v>
          </cell>
        </row>
        <row r="83">
          <cell r="A83">
            <v>80510</v>
          </cell>
          <cell r="B83" t="str">
            <v xml:space="preserve">   80510  Bow Boys Delegated</v>
          </cell>
          <cell r="C83">
            <v>1621100</v>
          </cell>
          <cell r="D83">
            <v>4508500</v>
          </cell>
          <cell r="E83">
            <v>814937.5</v>
          </cell>
          <cell r="F83">
            <v>6944537.5</v>
          </cell>
        </row>
        <row r="84">
          <cell r="A84">
            <v>80515</v>
          </cell>
          <cell r="B84" t="str">
            <v xml:space="preserve">   80515  Central Foundation Delegated</v>
          </cell>
          <cell r="C84">
            <v>-137300</v>
          </cell>
          <cell r="D84">
            <v>9143600</v>
          </cell>
          <cell r="E84">
            <v>1422048</v>
          </cell>
          <cell r="F84">
            <v>10428348</v>
          </cell>
        </row>
        <row r="85">
          <cell r="A85">
            <v>80520</v>
          </cell>
          <cell r="B85" t="str">
            <v xml:space="preserve">   80520  Bethnal Green TC Delegated</v>
          </cell>
          <cell r="C85">
            <v>357500</v>
          </cell>
          <cell r="D85">
            <v>5333700</v>
          </cell>
          <cell r="E85">
            <v>1170962.3700000001</v>
          </cell>
          <cell r="F85">
            <v>6862162.3700000001</v>
          </cell>
        </row>
        <row r="86">
          <cell r="A86">
            <v>80525</v>
          </cell>
          <cell r="B86" t="str">
            <v xml:space="preserve">   80525  George Green Delegated</v>
          </cell>
          <cell r="C86">
            <v>1044200</v>
          </cell>
          <cell r="D86">
            <v>8391900</v>
          </cell>
          <cell r="E86">
            <v>1363461.75</v>
          </cell>
          <cell r="F86">
            <v>10799561.75</v>
          </cell>
        </row>
        <row r="87">
          <cell r="A87">
            <v>80530</v>
          </cell>
          <cell r="B87" t="str">
            <v xml:space="preserve">   80530  Langdon Park Delegated</v>
          </cell>
          <cell r="C87">
            <v>1906100</v>
          </cell>
          <cell r="D87">
            <v>6097400</v>
          </cell>
          <cell r="E87">
            <v>1139185.6200000001</v>
          </cell>
          <cell r="F87">
            <v>9142685.620000001</v>
          </cell>
        </row>
        <row r="88">
          <cell r="A88">
            <v>80535</v>
          </cell>
          <cell r="B88" t="str">
            <v xml:space="preserve">   80535  Morpeth Delegated</v>
          </cell>
          <cell r="C88">
            <v>736300</v>
          </cell>
          <cell r="D88">
            <v>8160800</v>
          </cell>
          <cell r="E88">
            <v>1291116.3700000001</v>
          </cell>
          <cell r="F88">
            <v>10188216.370000001</v>
          </cell>
        </row>
        <row r="89">
          <cell r="A89">
            <v>80540</v>
          </cell>
          <cell r="B89" t="str">
            <v xml:space="preserve">   80540  Mulberry Delegated</v>
          </cell>
          <cell r="C89">
            <v>4073100</v>
          </cell>
          <cell r="D89">
            <v>9565800</v>
          </cell>
          <cell r="E89">
            <v>1333947.3700000001</v>
          </cell>
          <cell r="F89">
            <v>14972847.370000001</v>
          </cell>
        </row>
        <row r="90">
          <cell r="A90">
            <v>80545</v>
          </cell>
          <cell r="B90" t="str">
            <v xml:space="preserve">   80545  Oaklands Delegated</v>
          </cell>
          <cell r="C90">
            <v>228300</v>
          </cell>
          <cell r="D90">
            <v>4055200</v>
          </cell>
          <cell r="E90">
            <v>785678.87</v>
          </cell>
          <cell r="F90">
            <v>5069178.87</v>
          </cell>
        </row>
        <row r="91">
          <cell r="A91">
            <v>80550</v>
          </cell>
          <cell r="B91" t="str">
            <v xml:space="preserve">   80550  St Paul's Way Delegated</v>
          </cell>
          <cell r="C91">
            <v>128700</v>
          </cell>
          <cell r="D91">
            <v>6728500</v>
          </cell>
          <cell r="E91">
            <v>1307985.25</v>
          </cell>
          <cell r="F91">
            <v>8165185.25</v>
          </cell>
        </row>
        <row r="92">
          <cell r="A92">
            <v>80555</v>
          </cell>
          <cell r="B92" t="str">
            <v xml:space="preserve">   80555  Sir John Cass Delegated</v>
          </cell>
          <cell r="C92">
            <v>631800</v>
          </cell>
          <cell r="D92">
            <v>9264500</v>
          </cell>
          <cell r="E92">
            <v>1181596</v>
          </cell>
          <cell r="F92">
            <v>11077896</v>
          </cell>
        </row>
        <row r="93">
          <cell r="A93">
            <v>80560</v>
          </cell>
          <cell r="B93" t="str">
            <v xml:space="preserve">   80560  Stepney Green Delegated</v>
          </cell>
          <cell r="C93">
            <v>1580900</v>
          </cell>
          <cell r="D93">
            <v>4853400</v>
          </cell>
          <cell r="E93">
            <v>950689</v>
          </cell>
          <cell r="F93">
            <v>7384989</v>
          </cell>
        </row>
        <row r="94">
          <cell r="A94">
            <v>80565</v>
          </cell>
          <cell r="B94" t="str">
            <v xml:space="preserve">   80565  Swanlea Delegated</v>
          </cell>
          <cell r="C94">
            <v>1324300</v>
          </cell>
          <cell r="D94">
            <v>7027100</v>
          </cell>
          <cell r="E94">
            <v>1622352.75</v>
          </cell>
          <cell r="F94">
            <v>9973752.75</v>
          </cell>
        </row>
        <row r="95">
          <cell r="A95">
            <v>80570</v>
          </cell>
          <cell r="B95" t="str">
            <v xml:space="preserve">   80570  Raines Foundation Delegated</v>
          </cell>
          <cell r="C95">
            <v>237500</v>
          </cell>
          <cell r="D95">
            <v>5676900</v>
          </cell>
          <cell r="E95">
            <v>627039</v>
          </cell>
          <cell r="F95">
            <v>6541439</v>
          </cell>
        </row>
        <row r="96">
          <cell r="A96">
            <v>80575</v>
          </cell>
          <cell r="B96" t="str">
            <v xml:space="preserve">   80575  B/Challoner Boys Sch-Delegated</v>
          </cell>
          <cell r="C96">
            <v>205800</v>
          </cell>
          <cell r="D96">
            <v>3489900</v>
          </cell>
          <cell r="E96">
            <v>542814</v>
          </cell>
          <cell r="F96">
            <v>4238514</v>
          </cell>
        </row>
        <row r="97">
          <cell r="A97">
            <v>80605</v>
          </cell>
          <cell r="B97" t="str">
            <v xml:space="preserve">   80605  Bowden House Delegated</v>
          </cell>
          <cell r="C97">
            <v>1430000</v>
          </cell>
          <cell r="D97">
            <v>2002600</v>
          </cell>
          <cell r="E97">
            <v>83723.25</v>
          </cell>
          <cell r="F97">
            <v>3516323.25</v>
          </cell>
        </row>
        <row r="98">
          <cell r="A98">
            <v>80625</v>
          </cell>
          <cell r="B98" t="str">
            <v xml:space="preserve">   80625  Phoenix Delegated</v>
          </cell>
          <cell r="C98">
            <v>218500</v>
          </cell>
          <cell r="D98">
            <v>2725100</v>
          </cell>
          <cell r="E98">
            <v>324349</v>
          </cell>
          <cell r="F98">
            <v>3267949</v>
          </cell>
        </row>
        <row r="99">
          <cell r="A99">
            <v>80635</v>
          </cell>
          <cell r="B99" t="str">
            <v xml:space="preserve">   80635  Beatrice Tate Mark 2 Delegated</v>
          </cell>
          <cell r="C99">
            <v>981600</v>
          </cell>
          <cell r="D99">
            <v>1806200</v>
          </cell>
          <cell r="E99">
            <v>116796</v>
          </cell>
          <cell r="F99">
            <v>2904596</v>
          </cell>
        </row>
        <row r="100">
          <cell r="A100">
            <v>80640</v>
          </cell>
          <cell r="B100" t="str">
            <v xml:space="preserve">   80640  Stephen Hawking Delegated</v>
          </cell>
          <cell r="C100">
            <v>820700</v>
          </cell>
          <cell r="D100">
            <v>2097100</v>
          </cell>
          <cell r="E100">
            <v>119578.5</v>
          </cell>
          <cell r="F100">
            <v>3037378.5</v>
          </cell>
        </row>
        <row r="101">
          <cell r="A101">
            <v>80645</v>
          </cell>
          <cell r="B101" t="str">
            <v xml:space="preserve">   80645  Ian Mikardo Delegated</v>
          </cell>
          <cell r="C101">
            <v>-243000</v>
          </cell>
          <cell r="D101">
            <v>1179400</v>
          </cell>
          <cell r="E101">
            <v>87248.75</v>
          </cell>
          <cell r="F101">
            <v>1023648.75</v>
          </cell>
        </row>
        <row r="102">
          <cell r="A102">
            <v>80650</v>
          </cell>
          <cell r="B102" t="str">
            <v xml:space="preserve">   80650  Cherry Trees Delegated</v>
          </cell>
          <cell r="C102">
            <v>447900</v>
          </cell>
          <cell r="D102">
            <v>669900</v>
          </cell>
          <cell r="E102">
            <v>55110.94</v>
          </cell>
          <cell r="F102">
            <v>1172910.94</v>
          </cell>
        </row>
      </sheetData>
      <sheetData sheetId="8" refreshError="1">
        <row r="1">
          <cell r="B1" t="str">
            <v>R55CH115A</v>
          </cell>
        </row>
        <row r="4">
          <cell r="B4" t="str">
            <v>R55CH115A</v>
          </cell>
        </row>
        <row r="7">
          <cell r="A7">
            <v>80000</v>
          </cell>
          <cell r="B7" t="str">
            <v xml:space="preserve">   80000  Alice Model Delegated</v>
          </cell>
          <cell r="C7" t="str">
            <v>G/L Period Number</v>
          </cell>
        </row>
        <row r="8">
          <cell r="A8">
            <v>80005</v>
          </cell>
          <cell r="B8" t="str">
            <v>Description</v>
          </cell>
          <cell r="C8" t="str">
            <v>Actual Exp. To Date</v>
          </cell>
        </row>
        <row r="9">
          <cell r="A9">
            <v>80000</v>
          </cell>
          <cell r="B9" t="str">
            <v xml:space="preserve">   80000  Alice Model Delegated</v>
          </cell>
          <cell r="C9">
            <v>605535.37</v>
          </cell>
        </row>
        <row r="10">
          <cell r="A10">
            <v>80005</v>
          </cell>
          <cell r="B10" t="str">
            <v xml:space="preserve">   80005  Childrens House Delegated</v>
          </cell>
          <cell r="C10">
            <v>720640.55</v>
          </cell>
        </row>
        <row r="11">
          <cell r="A11">
            <v>80010</v>
          </cell>
          <cell r="B11" t="str">
            <v xml:space="preserve">   80010  Columbia Market Delegated</v>
          </cell>
          <cell r="C11">
            <v>922453.04</v>
          </cell>
        </row>
        <row r="12">
          <cell r="A12">
            <v>80020</v>
          </cell>
          <cell r="B12" t="str">
            <v xml:space="preserve">   80020  Harry Roberts Delegated</v>
          </cell>
          <cell r="C12">
            <v>748283.43</v>
          </cell>
        </row>
        <row r="13">
          <cell r="A13">
            <v>80025</v>
          </cell>
          <cell r="B13" t="str">
            <v xml:space="preserve">   80025  Old Church Delegated</v>
          </cell>
          <cell r="C13">
            <v>1022880.39</v>
          </cell>
        </row>
        <row r="14">
          <cell r="A14">
            <v>80030</v>
          </cell>
          <cell r="B14" t="str">
            <v xml:space="preserve">   80030  Rachel Keeling Delegated</v>
          </cell>
          <cell r="C14">
            <v>683109.65</v>
          </cell>
        </row>
        <row r="15">
          <cell r="A15">
            <v>80050</v>
          </cell>
          <cell r="B15" t="str">
            <v xml:space="preserve">   80050  Bangabandhu Delegated</v>
          </cell>
          <cell r="C15">
            <v>2841638.65</v>
          </cell>
        </row>
        <row r="16">
          <cell r="A16">
            <v>80055</v>
          </cell>
          <cell r="B16" t="str">
            <v xml:space="preserve">   80055  Ben Jonson Delegated</v>
          </cell>
          <cell r="C16">
            <v>2543273.16</v>
          </cell>
        </row>
        <row r="17">
          <cell r="A17">
            <v>80060</v>
          </cell>
          <cell r="B17" t="str">
            <v xml:space="preserve">   80060  Bigland Green Delegated</v>
          </cell>
          <cell r="C17">
            <v>2704448.95</v>
          </cell>
        </row>
        <row r="18">
          <cell r="A18">
            <v>80065</v>
          </cell>
          <cell r="B18" t="str">
            <v xml:space="preserve">   80065  Blue Gate Fields Inf Delegated</v>
          </cell>
          <cell r="C18">
            <v>1800238.04</v>
          </cell>
        </row>
        <row r="19">
          <cell r="A19">
            <v>80070</v>
          </cell>
          <cell r="B19" t="str">
            <v xml:space="preserve">   80070  Blue Gate Fields Jun Delegated</v>
          </cell>
          <cell r="C19">
            <v>1787149.88</v>
          </cell>
        </row>
        <row r="20">
          <cell r="A20">
            <v>80075</v>
          </cell>
          <cell r="B20" t="str">
            <v xml:space="preserve">   80075  Bonner Delegated</v>
          </cell>
          <cell r="C20">
            <v>2481998.11</v>
          </cell>
        </row>
        <row r="21">
          <cell r="A21">
            <v>80080</v>
          </cell>
          <cell r="B21" t="str">
            <v xml:space="preserve">   80080  Bygrove Delegated</v>
          </cell>
          <cell r="C21">
            <v>1498799.12</v>
          </cell>
        </row>
        <row r="22">
          <cell r="A22">
            <v>80085</v>
          </cell>
          <cell r="B22" t="str">
            <v xml:space="preserve">   80085  Canon Barnett Delegated</v>
          </cell>
          <cell r="C22">
            <v>1590862</v>
          </cell>
        </row>
        <row r="23">
          <cell r="A23">
            <v>80090</v>
          </cell>
          <cell r="B23" t="str">
            <v xml:space="preserve">   80090  Cayley Delegated</v>
          </cell>
          <cell r="C23">
            <v>2647496.9500000002</v>
          </cell>
        </row>
        <row r="24">
          <cell r="A24">
            <v>80095</v>
          </cell>
          <cell r="B24" t="str">
            <v xml:space="preserve">   80095  Chisenhale Delegated</v>
          </cell>
          <cell r="C24">
            <v>1945959.1</v>
          </cell>
        </row>
        <row r="25">
          <cell r="A25">
            <v>80100</v>
          </cell>
          <cell r="B25" t="str">
            <v xml:space="preserve">   80100  Christchurch Delegated</v>
          </cell>
          <cell r="C25">
            <v>933761.28</v>
          </cell>
        </row>
        <row r="26">
          <cell r="A26">
            <v>80105</v>
          </cell>
          <cell r="B26" t="str">
            <v xml:space="preserve">   80105  Clara Grant Delegated</v>
          </cell>
          <cell r="C26">
            <v>2868950.77</v>
          </cell>
        </row>
        <row r="27">
          <cell r="A27">
            <v>80110</v>
          </cell>
          <cell r="B27" t="str">
            <v xml:space="preserve">   80110  Columbia Delegated</v>
          </cell>
          <cell r="C27">
            <v>2317366.11</v>
          </cell>
        </row>
        <row r="28">
          <cell r="A28">
            <v>80115</v>
          </cell>
          <cell r="B28" t="str">
            <v xml:space="preserve">   80115  Cubitt Town Infants Delegated</v>
          </cell>
          <cell r="C28">
            <v>1902974.76</v>
          </cell>
        </row>
        <row r="29">
          <cell r="A29">
            <v>80120</v>
          </cell>
          <cell r="B29" t="str">
            <v xml:space="preserve">   80120  Cubitt Town Junior Delegated</v>
          </cell>
          <cell r="C29">
            <v>1802655.86</v>
          </cell>
        </row>
        <row r="30">
          <cell r="A30">
            <v>80125</v>
          </cell>
          <cell r="B30" t="str">
            <v xml:space="preserve">   80125  Culloden Delegated</v>
          </cell>
          <cell r="C30">
            <v>3233074.11</v>
          </cell>
        </row>
        <row r="31">
          <cell r="A31">
            <v>80130</v>
          </cell>
          <cell r="B31" t="str">
            <v xml:space="preserve">   80130  Cyril Jackson Delegated</v>
          </cell>
          <cell r="C31">
            <v>3449636.49</v>
          </cell>
        </row>
        <row r="32">
          <cell r="A32">
            <v>80135</v>
          </cell>
          <cell r="B32" t="str">
            <v xml:space="preserve">   80135  Elizabeth Selby Delegated</v>
          </cell>
          <cell r="C32">
            <v>1505909.65</v>
          </cell>
        </row>
        <row r="33">
          <cell r="A33">
            <v>80140</v>
          </cell>
          <cell r="B33" t="str">
            <v xml:space="preserve">   80140  English Martyrs Delegated</v>
          </cell>
          <cell r="C33">
            <v>1199466.28</v>
          </cell>
        </row>
        <row r="34">
          <cell r="A34">
            <v>80145</v>
          </cell>
          <cell r="B34" t="str">
            <v xml:space="preserve">   80145  Globe Delegated</v>
          </cell>
          <cell r="C34">
            <v>2394304.37</v>
          </cell>
        </row>
        <row r="35">
          <cell r="A35">
            <v>80150</v>
          </cell>
          <cell r="B35" t="str">
            <v xml:space="preserve">   80150  Guardian Angels Delegated</v>
          </cell>
          <cell r="C35">
            <v>1134008.3400000001</v>
          </cell>
        </row>
        <row r="36">
          <cell r="A36">
            <v>80155</v>
          </cell>
          <cell r="B36" t="str">
            <v xml:space="preserve">   80155  Hague Delegated</v>
          </cell>
          <cell r="C36">
            <v>1449879.03</v>
          </cell>
        </row>
        <row r="37">
          <cell r="A37">
            <v>80160</v>
          </cell>
          <cell r="B37" t="str">
            <v xml:space="preserve">   80160  Halley Delegated</v>
          </cell>
          <cell r="C37">
            <v>1660928.52</v>
          </cell>
        </row>
        <row r="38">
          <cell r="A38">
            <v>80165</v>
          </cell>
          <cell r="B38" t="str">
            <v xml:space="preserve">   80165  Harbinger Delegated</v>
          </cell>
          <cell r="C38">
            <v>1995875.87</v>
          </cell>
        </row>
        <row r="39">
          <cell r="A39">
            <v>80180</v>
          </cell>
          <cell r="B39" t="str">
            <v xml:space="preserve">   80180  Hermitage Delegated</v>
          </cell>
          <cell r="C39">
            <v>1642332.53</v>
          </cell>
        </row>
        <row r="40">
          <cell r="A40">
            <v>80185</v>
          </cell>
          <cell r="B40" t="str">
            <v xml:space="preserve">   80185  Holy Family Delegated</v>
          </cell>
          <cell r="C40">
            <v>1487738.95</v>
          </cell>
        </row>
        <row r="41">
          <cell r="A41">
            <v>80190</v>
          </cell>
          <cell r="B41" t="str">
            <v xml:space="preserve">   80190  John Scurr Delegated</v>
          </cell>
          <cell r="C41">
            <v>2766503.52</v>
          </cell>
        </row>
        <row r="42">
          <cell r="A42">
            <v>80195</v>
          </cell>
          <cell r="B42" t="str">
            <v xml:space="preserve">   80195  Lawdale Junior Delegated</v>
          </cell>
          <cell r="C42">
            <v>1641911.02</v>
          </cell>
        </row>
        <row r="43">
          <cell r="A43">
            <v>80210</v>
          </cell>
          <cell r="B43" t="str">
            <v xml:space="preserve">   80210  Manorfields Delegated</v>
          </cell>
          <cell r="C43">
            <v>2615628.11</v>
          </cell>
        </row>
        <row r="44">
          <cell r="A44">
            <v>80215</v>
          </cell>
          <cell r="B44" t="str">
            <v xml:space="preserve">   80215  Marion Richardson Delegated</v>
          </cell>
          <cell r="C44">
            <v>2814129.69</v>
          </cell>
        </row>
        <row r="45">
          <cell r="A45">
            <v>80220</v>
          </cell>
          <cell r="B45" t="str">
            <v xml:space="preserve">   80220  Marner Delegated</v>
          </cell>
          <cell r="C45">
            <v>2374267.66</v>
          </cell>
        </row>
        <row r="46">
          <cell r="A46">
            <v>80225</v>
          </cell>
          <cell r="B46" t="str">
            <v xml:space="preserve">   80225  Mayflower Delegated</v>
          </cell>
          <cell r="C46">
            <v>1985270.28</v>
          </cell>
        </row>
        <row r="47">
          <cell r="A47">
            <v>80230</v>
          </cell>
          <cell r="B47" t="str">
            <v xml:space="preserve">   80230  Mowlem Delegated</v>
          </cell>
          <cell r="C47">
            <v>1306330.67</v>
          </cell>
        </row>
        <row r="48">
          <cell r="A48">
            <v>80245</v>
          </cell>
          <cell r="B48" t="str">
            <v xml:space="preserve">   80245  Old Palace Delegated</v>
          </cell>
          <cell r="C48">
            <v>2405987.71</v>
          </cell>
        </row>
        <row r="49">
          <cell r="A49">
            <v>80250</v>
          </cell>
          <cell r="B49" t="str">
            <v xml:space="preserve">   80250  Olga Delegated</v>
          </cell>
          <cell r="C49">
            <v>1560571.44</v>
          </cell>
        </row>
        <row r="50">
          <cell r="A50">
            <v>80255</v>
          </cell>
          <cell r="B50" t="str">
            <v xml:space="preserve">   80255  Osmani Delegated</v>
          </cell>
          <cell r="C50">
            <v>2341502.2000000002</v>
          </cell>
        </row>
        <row r="51">
          <cell r="A51">
            <v>80260</v>
          </cell>
          <cell r="B51" t="str">
            <v xml:space="preserve">   80260  Our Lady Delegated</v>
          </cell>
          <cell r="C51">
            <v>1128696.17</v>
          </cell>
        </row>
        <row r="52">
          <cell r="A52">
            <v>80270</v>
          </cell>
          <cell r="B52" t="str">
            <v xml:space="preserve">   80270  Redlands Delegated</v>
          </cell>
          <cell r="C52">
            <v>2542232.1</v>
          </cell>
        </row>
        <row r="53">
          <cell r="A53">
            <v>80275</v>
          </cell>
          <cell r="B53" t="str">
            <v xml:space="preserve">   80275  St Agnes Delegated</v>
          </cell>
          <cell r="C53">
            <v>1258474.01</v>
          </cell>
        </row>
        <row r="54">
          <cell r="A54">
            <v>80280</v>
          </cell>
          <cell r="B54" t="str">
            <v xml:space="preserve">   80280  St Anne's Delegated</v>
          </cell>
          <cell r="C54">
            <v>1984245.49</v>
          </cell>
        </row>
        <row r="55">
          <cell r="A55">
            <v>80285</v>
          </cell>
          <cell r="B55" t="str">
            <v xml:space="preserve">   80285  St Edmund's Delegated</v>
          </cell>
          <cell r="C55">
            <v>1237969.8600000001</v>
          </cell>
        </row>
        <row r="56">
          <cell r="A56">
            <v>80295</v>
          </cell>
          <cell r="B56" t="str">
            <v xml:space="preserve">   80295  St John's Delegated</v>
          </cell>
          <cell r="C56">
            <v>1209601.02</v>
          </cell>
        </row>
        <row r="57">
          <cell r="A57">
            <v>80300</v>
          </cell>
          <cell r="B57" t="str">
            <v xml:space="preserve">   80300  St Luke's Delegated</v>
          </cell>
          <cell r="C57">
            <v>1411804.7</v>
          </cell>
        </row>
        <row r="58">
          <cell r="A58">
            <v>80315</v>
          </cell>
          <cell r="B58" t="str">
            <v xml:space="preserve">   80315  St Matthias Delegated</v>
          </cell>
          <cell r="C58">
            <v>1129073.77</v>
          </cell>
        </row>
        <row r="59">
          <cell r="A59">
            <v>80325</v>
          </cell>
          <cell r="B59" t="str">
            <v xml:space="preserve">   80325  St Paul's Delegated</v>
          </cell>
          <cell r="C59">
            <v>1326095.08</v>
          </cell>
        </row>
        <row r="60">
          <cell r="A60">
            <v>80330</v>
          </cell>
          <cell r="B60" t="str">
            <v xml:space="preserve">   80330  St Pauls With St Lukes Delegat</v>
          </cell>
          <cell r="C60">
            <v>1480896.99</v>
          </cell>
        </row>
        <row r="61">
          <cell r="A61">
            <v>80335</v>
          </cell>
          <cell r="B61" t="str">
            <v xml:space="preserve">   80335  St Peter's Delegated</v>
          </cell>
          <cell r="C61">
            <v>1206026.95</v>
          </cell>
        </row>
        <row r="62">
          <cell r="A62">
            <v>80340</v>
          </cell>
          <cell r="B62" t="str">
            <v xml:space="preserve">   80340  St Saviour's Delegated</v>
          </cell>
          <cell r="C62">
            <v>1227091.77</v>
          </cell>
        </row>
        <row r="63">
          <cell r="A63">
            <v>80345</v>
          </cell>
          <cell r="B63" t="str">
            <v xml:space="preserve">   80345  Kobi Nazrul School Delegated</v>
          </cell>
          <cell r="C63">
            <v>1615841.4</v>
          </cell>
        </row>
        <row r="64">
          <cell r="A64">
            <v>80350</v>
          </cell>
          <cell r="B64" t="str">
            <v xml:space="preserve">   80350  Seven Mills Delegated</v>
          </cell>
          <cell r="C64">
            <v>1388013.57</v>
          </cell>
        </row>
        <row r="65">
          <cell r="A65">
            <v>80355</v>
          </cell>
          <cell r="B65" t="str">
            <v xml:space="preserve">   80355  Shapla Delegated</v>
          </cell>
          <cell r="C65">
            <v>1331337.77</v>
          </cell>
        </row>
        <row r="66">
          <cell r="A66">
            <v>80360</v>
          </cell>
          <cell r="B66" t="str">
            <v xml:space="preserve">   80360  Sir William Burrough Delegated</v>
          </cell>
          <cell r="C66">
            <v>1926985.85</v>
          </cell>
        </row>
        <row r="67">
          <cell r="A67">
            <v>80365</v>
          </cell>
          <cell r="B67" t="str">
            <v xml:space="preserve">   80365  Smithy School Delegated</v>
          </cell>
          <cell r="C67">
            <v>1855795.25</v>
          </cell>
        </row>
        <row r="68">
          <cell r="A68">
            <v>80370</v>
          </cell>
          <cell r="B68" t="str">
            <v xml:space="preserve">   80370  Stebon Delegated</v>
          </cell>
          <cell r="C68">
            <v>2500744.9300000002</v>
          </cell>
        </row>
        <row r="69">
          <cell r="A69">
            <v>80375</v>
          </cell>
          <cell r="B69" t="str">
            <v xml:space="preserve">   80375  Stepney Greencoats Delegated</v>
          </cell>
          <cell r="C69">
            <v>1142611.94</v>
          </cell>
        </row>
        <row r="70">
          <cell r="A70">
            <v>80380</v>
          </cell>
          <cell r="B70" t="str">
            <v xml:space="preserve">   80380  Stewart Headlam Delegated</v>
          </cell>
          <cell r="C70">
            <v>2255725.5</v>
          </cell>
        </row>
        <row r="71">
          <cell r="A71">
            <v>80395</v>
          </cell>
          <cell r="B71" t="str">
            <v xml:space="preserve">   80395  Thomas Buxton Inf Delegated</v>
          </cell>
          <cell r="C71">
            <v>1414376.95</v>
          </cell>
        </row>
        <row r="72">
          <cell r="A72">
            <v>80400</v>
          </cell>
          <cell r="B72" t="str">
            <v xml:space="preserve">   80400  Thomas Buxton Jun Delegated</v>
          </cell>
          <cell r="C72">
            <v>1485363.79</v>
          </cell>
        </row>
        <row r="73">
          <cell r="A73">
            <v>80405</v>
          </cell>
          <cell r="B73" t="str">
            <v xml:space="preserve">   80405  Virginia Delegated</v>
          </cell>
          <cell r="C73">
            <v>1194101.4099999999</v>
          </cell>
        </row>
        <row r="74">
          <cell r="A74">
            <v>80410</v>
          </cell>
          <cell r="B74" t="str">
            <v xml:space="preserve">   80410  Wellington Delegated</v>
          </cell>
          <cell r="C74">
            <v>1807396.66</v>
          </cell>
        </row>
        <row r="75">
          <cell r="A75">
            <v>80415</v>
          </cell>
          <cell r="B75" t="str">
            <v xml:space="preserve">   80415  William Davis Delegated</v>
          </cell>
          <cell r="C75">
            <v>1232616.1000000001</v>
          </cell>
        </row>
        <row r="76">
          <cell r="A76">
            <v>80420</v>
          </cell>
          <cell r="B76" t="str">
            <v xml:space="preserve">   80420  Woolmore Delegated</v>
          </cell>
          <cell r="C76">
            <v>1447649.18</v>
          </cell>
        </row>
        <row r="77">
          <cell r="A77">
            <v>80425</v>
          </cell>
          <cell r="B77" t="str">
            <v xml:space="preserve">   80425  Arnhem Wharf Delegated</v>
          </cell>
          <cell r="C77">
            <v>2654633.1800000002</v>
          </cell>
        </row>
        <row r="78">
          <cell r="A78">
            <v>80430</v>
          </cell>
          <cell r="B78" t="str">
            <v xml:space="preserve">   80430  Harry Gosling Delegated</v>
          </cell>
          <cell r="C78">
            <v>2199523.9</v>
          </cell>
        </row>
        <row r="79">
          <cell r="A79">
            <v>80435</v>
          </cell>
          <cell r="B79" t="str">
            <v xml:space="preserve">   80435  Old Ford Delegated</v>
          </cell>
          <cell r="C79">
            <v>4225096.9399999995</v>
          </cell>
        </row>
        <row r="80">
          <cell r="A80">
            <v>80440</v>
          </cell>
          <cell r="B80" t="str">
            <v xml:space="preserve">   80440  St Mary &amp; St Michael Delegated</v>
          </cell>
          <cell r="C80">
            <v>2257812.91</v>
          </cell>
        </row>
        <row r="81">
          <cell r="A81">
            <v>80445</v>
          </cell>
          <cell r="B81" t="str">
            <v xml:space="preserve">   80445  St Elizabeths PriSch-Delegated</v>
          </cell>
          <cell r="C81">
            <v>1986398.22</v>
          </cell>
        </row>
        <row r="82">
          <cell r="A82">
            <v>80450</v>
          </cell>
          <cell r="B82" t="str">
            <v xml:space="preserve">   80450  LansburyLawrence Pri-Delegated</v>
          </cell>
          <cell r="C82">
            <v>3151869.86</v>
          </cell>
        </row>
        <row r="83">
          <cell r="A83">
            <v>80455</v>
          </cell>
          <cell r="B83" t="str">
            <v xml:space="preserve">   80455  Malmesbury Primary-Delegated</v>
          </cell>
          <cell r="C83">
            <v>3094534.54</v>
          </cell>
        </row>
        <row r="84">
          <cell r="A84">
            <v>80500</v>
          </cell>
          <cell r="B84" t="str">
            <v xml:space="preserve">   80500  Bishop Challoner Delegated</v>
          </cell>
          <cell r="C84">
            <v>7218888.9299999997</v>
          </cell>
        </row>
        <row r="85">
          <cell r="A85">
            <v>80510</v>
          </cell>
          <cell r="B85" t="str">
            <v xml:space="preserve">   80510  Bow Boys Delegated</v>
          </cell>
          <cell r="C85">
            <v>5954259.1500000004</v>
          </cell>
        </row>
        <row r="86">
          <cell r="A86">
            <v>80515</v>
          </cell>
          <cell r="B86" t="str">
            <v xml:space="preserve">   80515  Central Foundation Delegated</v>
          </cell>
          <cell r="C86">
            <v>10937422.130000001</v>
          </cell>
        </row>
        <row r="87">
          <cell r="A87">
            <v>80520</v>
          </cell>
          <cell r="B87" t="str">
            <v xml:space="preserve">   80520  Bethnal Green TC Delegated</v>
          </cell>
          <cell r="C87">
            <v>6498134.1799999997</v>
          </cell>
        </row>
        <row r="88">
          <cell r="A88">
            <v>80525</v>
          </cell>
          <cell r="B88" t="str">
            <v xml:space="preserve">   80525  George Green Delegated</v>
          </cell>
          <cell r="C88">
            <v>9478074.3499999996</v>
          </cell>
        </row>
        <row r="89">
          <cell r="A89">
            <v>80530</v>
          </cell>
          <cell r="B89" t="str">
            <v xml:space="preserve">   80530  Langdon Park Delegated</v>
          </cell>
          <cell r="C89">
            <v>7932839.3200000003</v>
          </cell>
        </row>
        <row r="90">
          <cell r="A90">
            <v>80535</v>
          </cell>
          <cell r="B90" t="str">
            <v xml:space="preserve">   80535  Morpeth Delegated</v>
          </cell>
          <cell r="C90">
            <v>9269816.9199999999</v>
          </cell>
        </row>
        <row r="91">
          <cell r="A91">
            <v>80540</v>
          </cell>
          <cell r="B91" t="str">
            <v xml:space="preserve">   80540  Mulberry Delegated</v>
          </cell>
          <cell r="C91">
            <v>11343026.48</v>
          </cell>
        </row>
        <row r="92">
          <cell r="A92">
            <v>80545</v>
          </cell>
          <cell r="B92" t="str">
            <v xml:space="preserve">   80545  Oaklands Delegated</v>
          </cell>
          <cell r="C92">
            <v>5121331.45</v>
          </cell>
        </row>
        <row r="93">
          <cell r="A93">
            <v>80550</v>
          </cell>
          <cell r="B93" t="str">
            <v xml:space="preserve">   80550  St Paul's Way Delegated</v>
          </cell>
          <cell r="C93">
            <v>8075453.1200000001</v>
          </cell>
        </row>
        <row r="94">
          <cell r="A94">
            <v>80555</v>
          </cell>
          <cell r="B94" t="str">
            <v xml:space="preserve">   80555  Sir John Cass Delegated</v>
          </cell>
          <cell r="C94">
            <v>10049924.279999999</v>
          </cell>
        </row>
        <row r="95">
          <cell r="A95">
            <v>80560</v>
          </cell>
          <cell r="B95" t="str">
            <v xml:space="preserve">   80560  Stepney Green Delegated</v>
          </cell>
          <cell r="C95">
            <v>5956493.9400000004</v>
          </cell>
        </row>
        <row r="96">
          <cell r="A96">
            <v>80565</v>
          </cell>
          <cell r="B96" t="str">
            <v xml:space="preserve">   80565  Swanlea Delegated</v>
          </cell>
          <cell r="C96">
            <v>8491591.2200000007</v>
          </cell>
        </row>
        <row r="97">
          <cell r="A97">
            <v>80570</v>
          </cell>
          <cell r="B97" t="str">
            <v xml:space="preserve">   80570  Raines Foundation Delegated</v>
          </cell>
          <cell r="C97">
            <v>6613413.8499999996</v>
          </cell>
        </row>
        <row r="98">
          <cell r="A98">
            <v>80575</v>
          </cell>
          <cell r="B98" t="str">
            <v xml:space="preserve">   80575  B/Challoner Boys Sch-Delegated</v>
          </cell>
          <cell r="C98">
            <v>4579261.3499999996</v>
          </cell>
        </row>
        <row r="99">
          <cell r="A99">
            <v>80605</v>
          </cell>
          <cell r="B99" t="str">
            <v xml:space="preserve">   80605  Bowden House Delegated</v>
          </cell>
          <cell r="C99">
            <v>1850492.24</v>
          </cell>
        </row>
        <row r="100">
          <cell r="A100">
            <v>80625</v>
          </cell>
          <cell r="B100" t="str">
            <v xml:space="preserve">   80625  Phoenix Delegated</v>
          </cell>
          <cell r="C100">
            <v>2831577.91</v>
          </cell>
        </row>
        <row r="101">
          <cell r="A101">
            <v>80635</v>
          </cell>
          <cell r="B101" t="str">
            <v xml:space="preserve">   80635  Beatrice Tate Mark 2 Delegated</v>
          </cell>
          <cell r="C101">
            <v>1579206.5</v>
          </cell>
        </row>
        <row r="102">
          <cell r="A102">
            <v>80640</v>
          </cell>
          <cell r="B102" t="str">
            <v xml:space="preserve">   80640  Stephen Hawking Delegated</v>
          </cell>
          <cell r="C102">
            <v>2016345.87</v>
          </cell>
        </row>
        <row r="103">
          <cell r="A103">
            <v>80645</v>
          </cell>
          <cell r="B103" t="str">
            <v xml:space="preserve">   80645  Ian Mikardo Delegated</v>
          </cell>
          <cell r="C103">
            <v>1358473.98</v>
          </cell>
        </row>
        <row r="104">
          <cell r="A104">
            <v>80650</v>
          </cell>
          <cell r="B104" t="str">
            <v xml:space="preserve">   80650  Cherry Trees Delegated</v>
          </cell>
          <cell r="C104">
            <v>964889.1</v>
          </cell>
        </row>
      </sheetData>
      <sheetData sheetId="9">
        <row r="1">
          <cell r="B1" t="str">
            <v>R55CH115A</v>
          </cell>
        </row>
      </sheetData>
      <sheetData sheetId="10"/>
      <sheetData sheetId="11" refreshError="1"/>
      <sheetData sheetId="12" refreshError="1">
        <row r="1">
          <cell r="A1" t="str">
            <v>School Reconciliation to March 2009</v>
          </cell>
        </row>
        <row r="2">
          <cell r="A2" t="str">
            <v>cc</v>
          </cell>
          <cell r="B2" t="str">
            <v>school</v>
          </cell>
          <cell r="C2" t="str">
            <v>School Balance</v>
          </cell>
          <cell r="D2" t="str">
            <v>Accruals</v>
          </cell>
          <cell r="E2" t="str">
            <v>School Carry Forward</v>
          </cell>
        </row>
        <row r="3">
          <cell r="A3">
            <v>80000</v>
          </cell>
          <cell r="B3" t="str">
            <v>Alice Model</v>
          </cell>
          <cell r="C3">
            <v>119437.85</v>
          </cell>
          <cell r="E3">
            <v>119437.85</v>
          </cell>
        </row>
        <row r="4">
          <cell r="A4">
            <v>80050</v>
          </cell>
          <cell r="B4" t="str">
            <v>Bangabandhu</v>
          </cell>
          <cell r="C4">
            <v>302551.55</v>
          </cell>
          <cell r="D4">
            <v>-61000</v>
          </cell>
          <cell r="E4">
            <v>241551.55</v>
          </cell>
        </row>
        <row r="5">
          <cell r="A5">
            <v>80065</v>
          </cell>
          <cell r="B5" t="str">
            <v>Blue Gate Fields Infants</v>
          </cell>
          <cell r="C5">
            <v>682446.12</v>
          </cell>
          <cell r="D5">
            <v>-10650</v>
          </cell>
          <cell r="E5">
            <v>671796.12</v>
          </cell>
        </row>
        <row r="6">
          <cell r="A6">
            <v>80070</v>
          </cell>
          <cell r="B6" t="str">
            <v>Blue Gate Fields Junior</v>
          </cell>
          <cell r="C6">
            <v>144205.18</v>
          </cell>
          <cell r="D6">
            <v>-14963.36</v>
          </cell>
          <cell r="E6">
            <v>129241.81999999999</v>
          </cell>
        </row>
        <row r="7">
          <cell r="A7">
            <v>80510</v>
          </cell>
          <cell r="B7" t="str">
            <v>Bow</v>
          </cell>
          <cell r="C7">
            <v>1374863.16</v>
          </cell>
          <cell r="D7">
            <v>-386035</v>
          </cell>
          <cell r="E7">
            <v>988828.15999999992</v>
          </cell>
        </row>
        <row r="8">
          <cell r="A8">
            <v>80085</v>
          </cell>
          <cell r="B8" t="str">
            <v>Canon Barnett</v>
          </cell>
          <cell r="C8">
            <v>269744.62</v>
          </cell>
          <cell r="D8">
            <v>-56600</v>
          </cell>
          <cell r="E8">
            <v>213144.62</v>
          </cell>
        </row>
        <row r="9">
          <cell r="A9">
            <v>80005</v>
          </cell>
          <cell r="B9" t="str">
            <v>Childrens House</v>
          </cell>
          <cell r="C9">
            <v>36030.269999999997</v>
          </cell>
          <cell r="D9">
            <v>4463.5</v>
          </cell>
          <cell r="E9">
            <v>40493.769999999997</v>
          </cell>
        </row>
        <row r="10">
          <cell r="A10">
            <v>80100</v>
          </cell>
          <cell r="B10" t="str">
            <v>Christchurch</v>
          </cell>
          <cell r="C10">
            <v>107305.32</v>
          </cell>
          <cell r="D10">
            <v>-10500</v>
          </cell>
          <cell r="E10">
            <v>96805.32</v>
          </cell>
        </row>
        <row r="11">
          <cell r="A11">
            <v>80110</v>
          </cell>
          <cell r="B11" t="str">
            <v>Columbia</v>
          </cell>
          <cell r="C11">
            <v>268477.17</v>
          </cell>
          <cell r="D11">
            <v>-99188.37</v>
          </cell>
          <cell r="E11">
            <v>169288.8</v>
          </cell>
        </row>
        <row r="12">
          <cell r="A12">
            <v>80120</v>
          </cell>
          <cell r="B12" t="str">
            <v>Cubitt Town Junior</v>
          </cell>
          <cell r="C12">
            <v>509191.14</v>
          </cell>
          <cell r="D12">
            <v>-37900</v>
          </cell>
          <cell r="E12">
            <v>471291.14</v>
          </cell>
        </row>
        <row r="13">
          <cell r="A13">
            <v>80145</v>
          </cell>
          <cell r="B13" t="str">
            <v>Globe</v>
          </cell>
          <cell r="C13">
            <v>297465.68</v>
          </cell>
          <cell r="D13">
            <v>-34297.1</v>
          </cell>
          <cell r="E13">
            <v>263168.58</v>
          </cell>
        </row>
        <row r="14">
          <cell r="A14">
            <v>80185</v>
          </cell>
          <cell r="B14" t="str">
            <v>Holy Family</v>
          </cell>
          <cell r="C14">
            <v>55204.7</v>
          </cell>
          <cell r="D14">
            <v>-19083.52</v>
          </cell>
          <cell r="E14">
            <v>36121.179999999993</v>
          </cell>
        </row>
        <row r="15">
          <cell r="A15">
            <v>80195</v>
          </cell>
          <cell r="B15" t="str">
            <v>Lawdale</v>
          </cell>
          <cell r="C15">
            <v>27141.200000000001</v>
          </cell>
          <cell r="D15">
            <v>-12000</v>
          </cell>
          <cell r="E15">
            <v>15141.2</v>
          </cell>
        </row>
        <row r="16">
          <cell r="A16">
            <v>80225</v>
          </cell>
          <cell r="B16" t="str">
            <v>Mayflower</v>
          </cell>
          <cell r="C16">
            <v>189298</v>
          </cell>
          <cell r="D16">
            <v>-24500</v>
          </cell>
          <cell r="E16">
            <v>164798</v>
          </cell>
        </row>
        <row r="17">
          <cell r="A17">
            <v>80230</v>
          </cell>
          <cell r="B17" t="str">
            <v>Mowlem</v>
          </cell>
          <cell r="C17">
            <v>150491.26999999999</v>
          </cell>
          <cell r="D17">
            <v>-22401.18</v>
          </cell>
          <cell r="E17">
            <v>128090.09</v>
          </cell>
        </row>
        <row r="18">
          <cell r="A18">
            <v>80025</v>
          </cell>
          <cell r="B18" t="str">
            <v>Old Church</v>
          </cell>
          <cell r="C18">
            <v>225346.01</v>
          </cell>
          <cell r="D18">
            <v>-15967</v>
          </cell>
          <cell r="E18">
            <v>209379.01</v>
          </cell>
        </row>
        <row r="19">
          <cell r="A19">
            <v>80250</v>
          </cell>
          <cell r="B19" t="str">
            <v>Olga</v>
          </cell>
          <cell r="C19">
            <v>188275</v>
          </cell>
          <cell r="D19">
            <v>-86000</v>
          </cell>
          <cell r="E19">
            <v>102275</v>
          </cell>
        </row>
        <row r="20">
          <cell r="A20">
            <v>80255</v>
          </cell>
          <cell r="B20" t="str">
            <v>Osmani</v>
          </cell>
          <cell r="C20">
            <v>370421.07</v>
          </cell>
          <cell r="D20">
            <v>-37750</v>
          </cell>
          <cell r="E20">
            <v>332671.07</v>
          </cell>
        </row>
        <row r="21">
          <cell r="A21">
            <v>80360</v>
          </cell>
          <cell r="B21" t="str">
            <v>Sir William Burrough</v>
          </cell>
          <cell r="C21">
            <v>3733.03</v>
          </cell>
          <cell r="D21">
            <v>-5785.33</v>
          </cell>
          <cell r="E21">
            <v>-2052.2999999999997</v>
          </cell>
        </row>
        <row r="22">
          <cell r="A22">
            <v>80275</v>
          </cell>
          <cell r="B22" t="str">
            <v>St Agnes</v>
          </cell>
          <cell r="C22">
            <v>180361.45</v>
          </cell>
          <cell r="D22">
            <v>-9216</v>
          </cell>
          <cell r="E22">
            <v>171145.45</v>
          </cell>
        </row>
        <row r="23">
          <cell r="A23">
            <v>80335</v>
          </cell>
          <cell r="B23" t="str">
            <v>St Peters</v>
          </cell>
          <cell r="C23">
            <v>110303.94</v>
          </cell>
          <cell r="D23">
            <v>-20151.18</v>
          </cell>
          <cell r="E23">
            <v>90152.760000000009</v>
          </cell>
        </row>
        <row r="24">
          <cell r="A24">
            <v>80425</v>
          </cell>
          <cell r="B24" t="str">
            <v>Arnhem Wharf</v>
          </cell>
          <cell r="C24">
            <v>323967.90000000002</v>
          </cell>
          <cell r="D24">
            <v>-32799</v>
          </cell>
          <cell r="E24">
            <v>291168.90000000002</v>
          </cell>
        </row>
        <row r="25">
          <cell r="A25">
            <v>80075</v>
          </cell>
          <cell r="B25" t="str">
            <v>Bonner</v>
          </cell>
          <cell r="C25">
            <v>-53337.36</v>
          </cell>
          <cell r="D25">
            <v>106961.14</v>
          </cell>
          <cell r="E25">
            <v>53623.78</v>
          </cell>
        </row>
        <row r="26">
          <cell r="A26">
            <v>80605</v>
          </cell>
          <cell r="B26" t="str">
            <v>Bowden House</v>
          </cell>
          <cell r="C26">
            <v>1679204.98</v>
          </cell>
          <cell r="D26">
            <v>0</v>
          </cell>
          <cell r="E26">
            <v>1679204.98</v>
          </cell>
        </row>
        <row r="27">
          <cell r="A27">
            <v>80515</v>
          </cell>
          <cell r="B27" t="str">
            <v>Central Foundation</v>
          </cell>
          <cell r="C27">
            <v>-383150.89</v>
          </cell>
          <cell r="D27">
            <v>-124751.94</v>
          </cell>
          <cell r="E27">
            <v>-507902.83</v>
          </cell>
        </row>
        <row r="28">
          <cell r="A28">
            <v>80105</v>
          </cell>
          <cell r="B28" t="str">
            <v>Clara Grant</v>
          </cell>
          <cell r="C28">
            <v>175102.98</v>
          </cell>
          <cell r="D28">
            <v>-21834.639999999999</v>
          </cell>
          <cell r="E28">
            <v>153268.34000000003</v>
          </cell>
        </row>
        <row r="29">
          <cell r="A29">
            <v>80135</v>
          </cell>
          <cell r="B29" t="str">
            <v>Elizabeth Selby</v>
          </cell>
          <cell r="C29">
            <v>243541.69</v>
          </cell>
          <cell r="D29">
            <v>-12400</v>
          </cell>
          <cell r="E29">
            <v>231141.69</v>
          </cell>
        </row>
        <row r="30">
          <cell r="A30">
            <v>80140</v>
          </cell>
          <cell r="B30" t="str">
            <v>English Martyrs</v>
          </cell>
          <cell r="C30">
            <v>48967.14</v>
          </cell>
          <cell r="D30">
            <v>-16000</v>
          </cell>
          <cell r="E30">
            <v>32967.14</v>
          </cell>
        </row>
        <row r="31">
          <cell r="A31">
            <v>80150</v>
          </cell>
          <cell r="B31" t="str">
            <v>Guardian Angels</v>
          </cell>
          <cell r="C31">
            <v>94195.73</v>
          </cell>
          <cell r="D31">
            <v>0</v>
          </cell>
          <cell r="E31">
            <v>94195.73</v>
          </cell>
        </row>
        <row r="32">
          <cell r="A32">
            <v>80155</v>
          </cell>
          <cell r="B32" t="str">
            <v>Hague</v>
          </cell>
          <cell r="C32">
            <v>279085.65000000002</v>
          </cell>
          <cell r="D32">
            <v>-12100</v>
          </cell>
          <cell r="E32">
            <v>266985.65000000002</v>
          </cell>
        </row>
        <row r="33">
          <cell r="A33">
            <v>80160</v>
          </cell>
          <cell r="B33" t="str">
            <v>Halley</v>
          </cell>
          <cell r="C33">
            <v>205063.02</v>
          </cell>
          <cell r="D33">
            <v>-26113</v>
          </cell>
          <cell r="E33">
            <v>178950.02</v>
          </cell>
        </row>
        <row r="34">
          <cell r="A34">
            <v>80020</v>
          </cell>
          <cell r="B34" t="str">
            <v>Harry Roberts</v>
          </cell>
          <cell r="C34">
            <v>301434.37</v>
          </cell>
          <cell r="D34">
            <v>4455.67</v>
          </cell>
          <cell r="E34">
            <v>305890.03999999998</v>
          </cell>
        </row>
        <row r="35">
          <cell r="A35">
            <v>80190</v>
          </cell>
          <cell r="B35" t="str">
            <v>John Scurr</v>
          </cell>
          <cell r="C35">
            <v>247637.38</v>
          </cell>
          <cell r="D35">
            <v>-36429</v>
          </cell>
          <cell r="E35">
            <v>211208.38</v>
          </cell>
        </row>
        <row r="36">
          <cell r="A36">
            <v>80345</v>
          </cell>
          <cell r="B36" t="str">
            <v>Kobi Nazrul</v>
          </cell>
          <cell r="C36">
            <v>160511.92000000001</v>
          </cell>
          <cell r="D36">
            <v>-53576.62</v>
          </cell>
          <cell r="E36">
            <v>106935.30000000002</v>
          </cell>
        </row>
        <row r="37">
          <cell r="A37">
            <v>80450</v>
          </cell>
          <cell r="B37" t="str">
            <v>Lansbury Lawrence</v>
          </cell>
          <cell r="C37">
            <v>183632.59</v>
          </cell>
          <cell r="D37">
            <v>-19500</v>
          </cell>
          <cell r="E37">
            <v>164132.59</v>
          </cell>
        </row>
        <row r="38">
          <cell r="A38">
            <v>80455</v>
          </cell>
          <cell r="B38" t="str">
            <v>Malmesbury</v>
          </cell>
          <cell r="C38">
            <v>211439.81</v>
          </cell>
          <cell r="D38">
            <v>-19000</v>
          </cell>
          <cell r="E38">
            <v>192439.81</v>
          </cell>
        </row>
        <row r="39">
          <cell r="A39">
            <v>80540</v>
          </cell>
          <cell r="B39" t="str">
            <v>Mulberry</v>
          </cell>
          <cell r="C39">
            <v>4225344.55</v>
          </cell>
          <cell r="D39">
            <v>-592525.73</v>
          </cell>
          <cell r="E39">
            <v>3632818.82</v>
          </cell>
        </row>
        <row r="40">
          <cell r="A40">
            <v>80545</v>
          </cell>
          <cell r="B40" t="str">
            <v>Oaklands</v>
          </cell>
          <cell r="C40">
            <v>69770.94</v>
          </cell>
          <cell r="D40">
            <v>35441.74</v>
          </cell>
          <cell r="E40">
            <v>105212.68</v>
          </cell>
        </row>
        <row r="41">
          <cell r="A41">
            <v>80245</v>
          </cell>
          <cell r="B41" t="str">
            <v>Old Palace</v>
          </cell>
          <cell r="C41">
            <v>379280.81</v>
          </cell>
          <cell r="D41">
            <v>0</v>
          </cell>
          <cell r="E41">
            <v>379280.81</v>
          </cell>
        </row>
        <row r="42">
          <cell r="A42">
            <v>80260</v>
          </cell>
          <cell r="B42" t="str">
            <v>Our Lady</v>
          </cell>
          <cell r="C42">
            <v>32397.35</v>
          </cell>
          <cell r="D42">
            <v>-11630.81</v>
          </cell>
          <cell r="E42">
            <v>20766.54</v>
          </cell>
        </row>
        <row r="43">
          <cell r="A43">
            <v>80355</v>
          </cell>
          <cell r="B43" t="str">
            <v>Shapla</v>
          </cell>
          <cell r="C43">
            <v>112878.32</v>
          </cell>
          <cell r="D43">
            <v>17700</v>
          </cell>
          <cell r="E43">
            <v>130578.32</v>
          </cell>
        </row>
        <row r="44">
          <cell r="A44">
            <v>80555</v>
          </cell>
          <cell r="B44" t="str">
            <v>Sir John Cass</v>
          </cell>
          <cell r="C44">
            <v>1262110.3400000001</v>
          </cell>
          <cell r="D44">
            <v>-103551.42</v>
          </cell>
          <cell r="E44">
            <v>1158558.9200000002</v>
          </cell>
        </row>
        <row r="45">
          <cell r="A45">
            <v>80315</v>
          </cell>
          <cell r="B45" t="str">
            <v>St Matthias</v>
          </cell>
          <cell r="C45">
            <v>-8488.23</v>
          </cell>
          <cell r="D45">
            <v>-6627.95</v>
          </cell>
          <cell r="E45">
            <v>-15116.18</v>
          </cell>
        </row>
        <row r="46">
          <cell r="A46">
            <v>80340</v>
          </cell>
          <cell r="B46" t="str">
            <v>St Saviours</v>
          </cell>
          <cell r="C46">
            <v>66860.539999999994</v>
          </cell>
          <cell r="D46">
            <v>-3500</v>
          </cell>
          <cell r="E46">
            <v>63360.539999999994</v>
          </cell>
        </row>
        <row r="47">
          <cell r="A47">
            <v>80560</v>
          </cell>
          <cell r="B47" t="str">
            <v>Stepney Green</v>
          </cell>
          <cell r="C47">
            <v>1426098.56</v>
          </cell>
          <cell r="D47">
            <v>0</v>
          </cell>
          <cell r="E47">
            <v>1426098.56</v>
          </cell>
        </row>
        <row r="48">
          <cell r="A48">
            <v>80380</v>
          </cell>
          <cell r="B48" t="str">
            <v>Stewart Headlam</v>
          </cell>
          <cell r="C48">
            <v>194229.79</v>
          </cell>
          <cell r="D48">
            <v>-695.34999999999854</v>
          </cell>
          <cell r="E48">
            <v>193534.44</v>
          </cell>
        </row>
        <row r="49">
          <cell r="A49">
            <v>80410</v>
          </cell>
          <cell r="B49" t="str">
            <v>Wellington</v>
          </cell>
          <cell r="C49">
            <v>472109.96</v>
          </cell>
          <cell r="D49">
            <v>-11000</v>
          </cell>
          <cell r="E49">
            <v>461109.96</v>
          </cell>
        </row>
        <row r="50">
          <cell r="A50">
            <v>80060</v>
          </cell>
          <cell r="B50" t="str">
            <v>Bigland Green</v>
          </cell>
          <cell r="C50">
            <v>197367.3</v>
          </cell>
          <cell r="D50">
            <v>-27898.58</v>
          </cell>
          <cell r="E50">
            <v>169468.71999999997</v>
          </cell>
        </row>
        <row r="51">
          <cell r="A51">
            <v>80115</v>
          </cell>
          <cell r="B51" t="str">
            <v>Cubitt Town Infants</v>
          </cell>
          <cell r="C51">
            <v>165346.46</v>
          </cell>
          <cell r="D51">
            <v>-193005.67</v>
          </cell>
          <cell r="E51">
            <v>-27659.210000000021</v>
          </cell>
        </row>
        <row r="52">
          <cell r="A52">
            <v>80130</v>
          </cell>
          <cell r="B52" t="str">
            <v>Cyril Jackson</v>
          </cell>
          <cell r="C52">
            <v>404782.28</v>
          </cell>
          <cell r="D52">
            <v>-146632.43</v>
          </cell>
          <cell r="E52">
            <v>258149.85000000003</v>
          </cell>
        </row>
        <row r="53">
          <cell r="A53">
            <v>80525</v>
          </cell>
          <cell r="B53" t="str">
            <v>George Green</v>
          </cell>
          <cell r="C53">
            <v>1375305.26</v>
          </cell>
          <cell r="D53">
            <v>-44666.43</v>
          </cell>
          <cell r="E53">
            <v>1330638.83</v>
          </cell>
        </row>
        <row r="54">
          <cell r="A54">
            <v>80165</v>
          </cell>
          <cell r="B54" t="str">
            <v>Harbinger</v>
          </cell>
          <cell r="C54">
            <v>187060.43</v>
          </cell>
          <cell r="D54">
            <v>-75748.740000000005</v>
          </cell>
          <cell r="E54">
            <v>111311.68999999999</v>
          </cell>
        </row>
        <row r="55">
          <cell r="A55">
            <v>80215</v>
          </cell>
          <cell r="B55" t="str">
            <v>Marion Richardson</v>
          </cell>
          <cell r="C55">
            <v>260883.34</v>
          </cell>
          <cell r="D55">
            <v>-167113.89000000001</v>
          </cell>
          <cell r="E55">
            <v>93769.449999999983</v>
          </cell>
        </row>
        <row r="56">
          <cell r="A56">
            <v>80220</v>
          </cell>
          <cell r="B56" t="str">
            <v>Marner</v>
          </cell>
          <cell r="C56">
            <v>374804.67</v>
          </cell>
          <cell r="D56">
            <v>-23752.42</v>
          </cell>
          <cell r="E56">
            <v>351052.25</v>
          </cell>
        </row>
        <row r="57">
          <cell r="A57">
            <v>80625</v>
          </cell>
          <cell r="B57" t="str">
            <v>Phoenix</v>
          </cell>
          <cell r="C57">
            <v>598985.74</v>
          </cell>
          <cell r="D57">
            <v>-172839.45</v>
          </cell>
          <cell r="E57">
            <v>426146.29</v>
          </cell>
        </row>
        <row r="58">
          <cell r="A58">
            <v>80445</v>
          </cell>
          <cell r="B58" t="str">
            <v>St Elizabeth</v>
          </cell>
          <cell r="C58">
            <v>177785.11</v>
          </cell>
          <cell r="D58">
            <v>-30080</v>
          </cell>
          <cell r="E58">
            <v>147705.10999999999</v>
          </cell>
        </row>
        <row r="59">
          <cell r="A59">
            <v>80440</v>
          </cell>
          <cell r="B59" t="str">
            <v>St Mary and St Michael</v>
          </cell>
          <cell r="C59">
            <v>80826.31</v>
          </cell>
          <cell r="D59">
            <v>8700.6699999999983</v>
          </cell>
          <cell r="E59">
            <v>89526.98</v>
          </cell>
        </row>
        <row r="60">
          <cell r="A60">
            <v>80550</v>
          </cell>
          <cell r="B60" t="str">
            <v>St Pauls Way</v>
          </cell>
          <cell r="C60">
            <v>13670.26</v>
          </cell>
          <cell r="D60">
            <v>-70295.5</v>
          </cell>
          <cell r="E60">
            <v>-56625.24</v>
          </cell>
        </row>
        <row r="61">
          <cell r="A61">
            <v>80370</v>
          </cell>
          <cell r="B61" t="str">
            <v>Stebon</v>
          </cell>
          <cell r="C61">
            <v>404416.28</v>
          </cell>
          <cell r="D61">
            <v>-191638.51</v>
          </cell>
          <cell r="E61">
            <v>212777.77000000002</v>
          </cell>
        </row>
        <row r="62">
          <cell r="A62">
            <v>80395</v>
          </cell>
          <cell r="B62" t="str">
            <v>Thomas Buxton Infants</v>
          </cell>
          <cell r="C62">
            <v>49204.59</v>
          </cell>
          <cell r="D62">
            <v>-12446.62</v>
          </cell>
          <cell r="E62">
            <v>36757.969999999994</v>
          </cell>
        </row>
        <row r="63">
          <cell r="A63">
            <v>80400</v>
          </cell>
          <cell r="B63" t="str">
            <v>Thomas Buxton Junior</v>
          </cell>
          <cell r="C63">
            <v>165384.19</v>
          </cell>
          <cell r="D63">
            <v>-30056.870000000003</v>
          </cell>
          <cell r="E63">
            <v>135327.32</v>
          </cell>
        </row>
        <row r="64">
          <cell r="A64">
            <v>80420</v>
          </cell>
          <cell r="B64" t="str">
            <v>Woolmore</v>
          </cell>
          <cell r="C64">
            <v>130850.57</v>
          </cell>
          <cell r="D64">
            <v>-22901.279999999999</v>
          </cell>
          <cell r="E64">
            <v>107949.29000000001</v>
          </cell>
        </row>
        <row r="65">
          <cell r="A65">
            <v>80635</v>
          </cell>
          <cell r="B65" t="str">
            <v>Beatrice Tate</v>
          </cell>
          <cell r="C65">
            <v>1340290.6000000001</v>
          </cell>
          <cell r="D65">
            <v>-8226.659999999998</v>
          </cell>
          <cell r="E65">
            <v>1332063.9400000002</v>
          </cell>
        </row>
        <row r="66">
          <cell r="A66">
            <v>80055</v>
          </cell>
          <cell r="B66" t="str">
            <v>Ben Jonson</v>
          </cell>
          <cell r="C66">
            <v>154718.69</v>
          </cell>
          <cell r="D66">
            <v>-17751</v>
          </cell>
          <cell r="E66">
            <v>136967.69</v>
          </cell>
        </row>
        <row r="67">
          <cell r="A67">
            <v>80520</v>
          </cell>
          <cell r="B67" t="str">
            <v>Bethnal Green</v>
          </cell>
          <cell r="C67">
            <v>613347.41</v>
          </cell>
          <cell r="D67">
            <v>-92823.78</v>
          </cell>
          <cell r="E67">
            <v>520523.63</v>
          </cell>
        </row>
        <row r="68">
          <cell r="A68">
            <v>80080</v>
          </cell>
          <cell r="B68" t="str">
            <v>Bygrove</v>
          </cell>
          <cell r="C68">
            <v>97585.600000000006</v>
          </cell>
          <cell r="D68">
            <v>-20000</v>
          </cell>
          <cell r="E68">
            <v>77585.600000000006</v>
          </cell>
        </row>
        <row r="69">
          <cell r="A69">
            <v>80650</v>
          </cell>
          <cell r="B69" t="str">
            <v>Cherry Trees</v>
          </cell>
          <cell r="C69">
            <v>219917.31</v>
          </cell>
          <cell r="D69">
            <v>0</v>
          </cell>
          <cell r="E69">
            <v>219917.31</v>
          </cell>
        </row>
        <row r="70">
          <cell r="A70">
            <v>80095</v>
          </cell>
          <cell r="B70" t="str">
            <v>Chisenhale</v>
          </cell>
          <cell r="C70">
            <v>217774.78</v>
          </cell>
          <cell r="D70">
            <v>-13558</v>
          </cell>
          <cell r="E70">
            <v>204216.78</v>
          </cell>
        </row>
        <row r="71">
          <cell r="A71">
            <v>80010</v>
          </cell>
          <cell r="B71" t="str">
            <v>Columbia Market</v>
          </cell>
          <cell r="C71">
            <v>64620.51</v>
          </cell>
          <cell r="D71">
            <v>-427</v>
          </cell>
          <cell r="E71">
            <v>64193.51</v>
          </cell>
        </row>
        <row r="72">
          <cell r="A72">
            <v>80125</v>
          </cell>
          <cell r="B72" t="str">
            <v>Culloden</v>
          </cell>
          <cell r="C72">
            <v>513144.39</v>
          </cell>
          <cell r="D72">
            <v>-210138.29</v>
          </cell>
          <cell r="E72">
            <v>303006.09999999998</v>
          </cell>
        </row>
        <row r="73">
          <cell r="A73">
            <v>80430</v>
          </cell>
          <cell r="B73" t="str">
            <v>Harry Gosling</v>
          </cell>
          <cell r="C73">
            <v>73209.3</v>
          </cell>
          <cell r="D73">
            <v>-9774.0499999999993</v>
          </cell>
          <cell r="E73">
            <v>63435.25</v>
          </cell>
        </row>
        <row r="74">
          <cell r="A74">
            <v>80180</v>
          </cell>
          <cell r="B74" t="str">
            <v>Hermitage</v>
          </cell>
          <cell r="C74">
            <v>184514.39</v>
          </cell>
          <cell r="D74">
            <v>-34715.769999999997</v>
          </cell>
          <cell r="E74">
            <v>149798.62000000002</v>
          </cell>
        </row>
        <row r="75">
          <cell r="A75">
            <v>80645</v>
          </cell>
          <cell r="B75" t="str">
            <v>Ian Mikardo</v>
          </cell>
          <cell r="C75">
            <v>-4335.08</v>
          </cell>
          <cell r="D75">
            <v>-82249.919999999998</v>
          </cell>
          <cell r="E75">
            <v>-86585</v>
          </cell>
        </row>
        <row r="76">
          <cell r="A76">
            <v>80530</v>
          </cell>
          <cell r="B76" t="str">
            <v>Langdon Park</v>
          </cell>
          <cell r="C76">
            <v>2367123.14</v>
          </cell>
          <cell r="D76">
            <v>-1157307</v>
          </cell>
          <cell r="E76">
            <v>1209816.1400000001</v>
          </cell>
        </row>
        <row r="77">
          <cell r="A77">
            <v>80210</v>
          </cell>
          <cell r="B77" t="str">
            <v>Manorfield</v>
          </cell>
          <cell r="C77">
            <v>167197.51999999999</v>
          </cell>
          <cell r="D77">
            <v>-29433.33</v>
          </cell>
          <cell r="E77">
            <v>137764.19</v>
          </cell>
        </row>
        <row r="78">
          <cell r="A78">
            <v>80535</v>
          </cell>
          <cell r="B78" t="str">
            <v>Morpeth</v>
          </cell>
          <cell r="C78">
            <v>809361.16</v>
          </cell>
          <cell r="D78">
            <v>0</v>
          </cell>
          <cell r="E78">
            <v>809361.16</v>
          </cell>
        </row>
        <row r="79">
          <cell r="A79">
            <v>80435</v>
          </cell>
          <cell r="B79" t="str">
            <v>Old Ford</v>
          </cell>
          <cell r="C79">
            <v>714480.13</v>
          </cell>
          <cell r="D79">
            <v>-401365.17</v>
          </cell>
          <cell r="E79">
            <v>313114.96000000002</v>
          </cell>
        </row>
        <row r="80">
          <cell r="A80">
            <v>80030</v>
          </cell>
          <cell r="B80" t="str">
            <v>Rachel Keeling</v>
          </cell>
          <cell r="C80">
            <v>175115.68</v>
          </cell>
          <cell r="D80">
            <v>-8188.75</v>
          </cell>
          <cell r="E80">
            <v>166926.93</v>
          </cell>
        </row>
        <row r="81">
          <cell r="A81">
            <v>80270</v>
          </cell>
          <cell r="B81" t="str">
            <v>Redlands</v>
          </cell>
          <cell r="C81">
            <v>561296.71</v>
          </cell>
          <cell r="D81">
            <v>-61020.39</v>
          </cell>
          <cell r="E81">
            <v>500276.31999999995</v>
          </cell>
        </row>
        <row r="82">
          <cell r="A82">
            <v>80350</v>
          </cell>
          <cell r="B82" t="str">
            <v>Seven Mills</v>
          </cell>
          <cell r="C82">
            <v>192601.67</v>
          </cell>
          <cell r="D82">
            <v>9517.67</v>
          </cell>
          <cell r="E82">
            <v>202119.34000000003</v>
          </cell>
        </row>
        <row r="83">
          <cell r="A83">
            <v>80365</v>
          </cell>
          <cell r="B83" t="str">
            <v>Smithy Street</v>
          </cell>
          <cell r="C83">
            <v>76264.11</v>
          </cell>
          <cell r="D83">
            <v>4792.59</v>
          </cell>
          <cell r="E83">
            <v>81056.7</v>
          </cell>
        </row>
        <row r="84">
          <cell r="A84">
            <v>80280</v>
          </cell>
          <cell r="B84" t="str">
            <v>St Anne</v>
          </cell>
          <cell r="C84">
            <v>85826.71</v>
          </cell>
          <cell r="D84">
            <v>-8779</v>
          </cell>
          <cell r="E84">
            <v>77047.710000000006</v>
          </cell>
        </row>
        <row r="85">
          <cell r="A85">
            <v>80285</v>
          </cell>
          <cell r="B85" t="str">
            <v>St Edmund</v>
          </cell>
          <cell r="C85">
            <v>48146.8</v>
          </cell>
          <cell r="D85">
            <v>-7363.27</v>
          </cell>
          <cell r="E85">
            <v>40783.53</v>
          </cell>
        </row>
        <row r="86">
          <cell r="A86">
            <v>80295</v>
          </cell>
          <cell r="B86" t="str">
            <v>St Johns</v>
          </cell>
          <cell r="C86">
            <v>374318.63</v>
          </cell>
          <cell r="D86">
            <v>-32776.21</v>
          </cell>
          <cell r="E86">
            <v>341542.42</v>
          </cell>
        </row>
        <row r="87">
          <cell r="A87">
            <v>80300</v>
          </cell>
          <cell r="B87" t="str">
            <v>St Lukes</v>
          </cell>
          <cell r="C87">
            <v>-6917.77</v>
          </cell>
          <cell r="D87">
            <v>6737.02</v>
          </cell>
          <cell r="E87">
            <v>-180.75</v>
          </cell>
        </row>
        <row r="88">
          <cell r="A88">
            <v>80330</v>
          </cell>
          <cell r="B88" t="str">
            <v>St Paul with St Luke</v>
          </cell>
          <cell r="C88">
            <v>118588.78</v>
          </cell>
          <cell r="D88">
            <v>-20641.32</v>
          </cell>
          <cell r="E88">
            <v>97947.459999999992</v>
          </cell>
        </row>
        <row r="89">
          <cell r="A89">
            <v>80325</v>
          </cell>
          <cell r="B89" t="str">
            <v>St Pauls Whitechapel</v>
          </cell>
          <cell r="C89">
            <v>36317.050000000003</v>
          </cell>
          <cell r="D89">
            <v>8689</v>
          </cell>
          <cell r="E89">
            <v>45006.05</v>
          </cell>
        </row>
        <row r="90">
          <cell r="A90">
            <v>80640</v>
          </cell>
          <cell r="B90" t="str">
            <v>Stephen Hawkings</v>
          </cell>
          <cell r="C90">
            <v>1003437.89</v>
          </cell>
          <cell r="D90">
            <v>4717.0599999999995</v>
          </cell>
          <cell r="E90">
            <v>1008154.9500000001</v>
          </cell>
        </row>
        <row r="91">
          <cell r="A91">
            <v>80375</v>
          </cell>
          <cell r="B91" t="str">
            <v>Stepney Greencoat</v>
          </cell>
          <cell r="C91">
            <v>42944.87</v>
          </cell>
          <cell r="D91">
            <v>-17625.22</v>
          </cell>
          <cell r="E91">
            <v>25319.65</v>
          </cell>
        </row>
        <row r="92">
          <cell r="A92">
            <v>80565</v>
          </cell>
          <cell r="B92" t="str">
            <v>Swanlea</v>
          </cell>
          <cell r="C92">
            <v>1615547.88</v>
          </cell>
          <cell r="D92">
            <v>0</v>
          </cell>
          <cell r="E92">
            <v>1615547.88</v>
          </cell>
        </row>
        <row r="93">
          <cell r="A93">
            <v>80405</v>
          </cell>
          <cell r="B93" t="str">
            <v>Virginia</v>
          </cell>
          <cell r="C93">
            <v>241125.14</v>
          </cell>
          <cell r="D93">
            <v>-6392.4</v>
          </cell>
          <cell r="E93">
            <v>234732.74000000002</v>
          </cell>
        </row>
        <row r="94">
          <cell r="A94">
            <v>80415</v>
          </cell>
          <cell r="B94" t="str">
            <v>William Davis</v>
          </cell>
          <cell r="C94">
            <v>289643.59000000003</v>
          </cell>
          <cell r="D94">
            <v>-5000</v>
          </cell>
          <cell r="E94">
            <v>284643.59000000003</v>
          </cell>
        </row>
        <row r="95">
          <cell r="A95">
            <v>80575</v>
          </cell>
          <cell r="B95" t="str">
            <v>Bishop Challoner Boys</v>
          </cell>
          <cell r="C95">
            <v>0</v>
          </cell>
          <cell r="D95">
            <v>0</v>
          </cell>
        </row>
        <row r="96">
          <cell r="A96">
            <v>80500</v>
          </cell>
          <cell r="B96" t="str">
            <v>Bishop Challoner Girls</v>
          </cell>
          <cell r="C96">
            <v>332054.44</v>
          </cell>
          <cell r="D96">
            <v>0</v>
          </cell>
          <cell r="E96">
            <v>332054.44</v>
          </cell>
        </row>
        <row r="97">
          <cell r="A97">
            <v>80090</v>
          </cell>
          <cell r="B97" t="str">
            <v>Cayley</v>
          </cell>
          <cell r="C97">
            <v>-7712.8199999999924</v>
          </cell>
          <cell r="D97">
            <v>74788.95</v>
          </cell>
          <cell r="E97">
            <v>67076.13</v>
          </cell>
        </row>
        <row r="98">
          <cell r="A98">
            <v>80570</v>
          </cell>
          <cell r="B98" t="str">
            <v>Raines</v>
          </cell>
          <cell r="C98">
            <v>47703</v>
          </cell>
          <cell r="D98">
            <v>-68979</v>
          </cell>
          <cell r="E98">
            <v>-21276</v>
          </cell>
        </row>
      </sheetData>
      <sheetData sheetId="13">
        <row r="1">
          <cell r="A1" t="str">
            <v>School Reconciliation to March 2009</v>
          </cell>
        </row>
      </sheetData>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Mark Johnson" id="{496602AC-02C3-407D-849A-8213DB8459BA}" userId="Mark.Johnson@london.gov.uk" providerId="PeoplePicker"/>
  <person displayName="Jack Bradshaw" id="{93BE9133-C872-4173-89F8-5BE4697C19FF}" userId="S::Jack.Bradshaw@london.gov.uk::6e0655e5-689e-40c6-93ec-5ca3846b5e68" providerId="AD"/>
</personList>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Book2"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ck Bradshaw" refreshedDate="44900.431687847224" createdVersion="7" refreshedVersion="7" minRefreshableVersion="3" recordCount="43" xr:uid="{F676B573-A741-4ACB-8001-9771D6898653}">
  <cacheSource type="worksheet">
    <worksheetSource ref="A1:G15" sheet="Sheet1" r:id="rId2"/>
  </cacheSource>
  <cacheFields count="7">
    <cacheField name="Directorate" numFmtId="0">
      <sharedItems count="4">
        <s v="Communities &amp; Skills"/>
        <s v="Good Growth"/>
        <s v="Housing and Land"/>
        <s v="Strategy &amp; Communications"/>
      </sharedItems>
    </cacheField>
    <cacheField name="Unit" numFmtId="0">
      <sharedItems/>
    </cacheField>
    <cacheField name="Budget line" numFmtId="0">
      <sharedItems/>
    </cacheField>
    <cacheField name="22-23" numFmtId="169">
      <sharedItems containsString="0" containsBlank="1" containsNumber="1" minValue="-171000" maxValue="0"/>
    </cacheField>
    <cacheField name="23-24" numFmtId="169">
      <sharedItems containsSemiMixedTypes="0" containsString="0" containsNumber="1" minValue="-181000" maxValue="0"/>
    </cacheField>
    <cacheField name="24-25" numFmtId="169">
      <sharedItems containsSemiMixedTypes="0" containsString="0" containsNumber="1" containsInteger="1" minValue="-181000" maxValue="0"/>
    </cacheField>
    <cacheField name="25-26" numFmtId="169">
      <sharedItems containsString="0" containsBlank="1" containsNumber="1" containsInteger="1" minValue="-18100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s v="AEB"/>
    <s v="AEB - Income"/>
    <n v="-3700"/>
    <n v="-3700"/>
    <n v="-3700"/>
    <n v="-3700"/>
  </r>
  <r>
    <x v="0"/>
    <s v="AEB"/>
    <s v="AEB - Income"/>
    <n v="-29500"/>
    <n v="-29500"/>
    <n v="-29500"/>
    <n v="-29500"/>
  </r>
  <r>
    <x v="0"/>
    <s v="AEB"/>
    <s v="AEB - Income"/>
    <n v="-6800"/>
    <n v="-6800"/>
    <n v="-6800"/>
    <n v="-6800"/>
  </r>
  <r>
    <x v="0"/>
    <s v="AEB"/>
    <s v="AEB - Income"/>
    <n v="-39200"/>
    <n v="-39200"/>
    <n v="-39200"/>
    <n v="-39200"/>
  </r>
  <r>
    <x v="0"/>
    <s v="AEB"/>
    <s v="AEB - Income"/>
    <n v="-171000"/>
    <n v="-181000"/>
    <n v="-181000"/>
    <n v="-181000"/>
  </r>
  <r>
    <x v="0"/>
    <s v="AEB"/>
    <s v="AEB - Income"/>
    <n v="-18850"/>
    <n v="-18850"/>
    <n v="-18850"/>
    <n v="-18850"/>
  </r>
  <r>
    <x v="0"/>
    <s v="AEB"/>
    <s v="AEB - Income"/>
    <n v="-22200"/>
    <n v="-22200"/>
    <n v="-22200"/>
    <n v="-22200"/>
  </r>
  <r>
    <x v="0"/>
    <s v="AEB"/>
    <s v="AEB - Income"/>
    <n v="-18850"/>
    <n v="-18850"/>
    <n v="-18850"/>
    <n v="-18850"/>
  </r>
  <r>
    <x v="0"/>
    <s v="AEB"/>
    <s v="AEB - Income"/>
    <n v="-28800"/>
    <n v="-28800"/>
    <n v="-28800"/>
    <n v="-28800"/>
  </r>
  <r>
    <x v="0"/>
    <s v="Communities &amp; Social Policy"/>
    <s v="London Strategic Migration Partnership (UKVI) - Income"/>
    <n v="-1011"/>
    <n v="-154"/>
    <n v="-154"/>
    <n v="-154"/>
  </r>
  <r>
    <x v="0"/>
    <s v="Communities &amp; Social Policy"/>
    <s v="Civil Society Roots 3 Programme- City Bridge Trust - Income"/>
    <n v="-220"/>
    <n v="-500"/>
    <n v="0"/>
    <n v="0"/>
  </r>
  <r>
    <x v="0"/>
    <s v="Children &amp; Young Londoners"/>
    <s v="YOUTH INNOVATION FUND (ESF)"/>
    <n v="-10"/>
    <n v="0"/>
    <n v="0"/>
    <n v="0"/>
  </r>
  <r>
    <x v="0"/>
    <s v="ESF"/>
    <s v="ESF 2019-23 PROGRAMME (Income)"/>
    <n v="-10000"/>
    <n v="-27155"/>
    <n v="-26310"/>
    <n v="-26310"/>
  </r>
  <r>
    <x v="0"/>
    <s v="Skills and Employment"/>
    <s v="Skills - ESF Staff match Income "/>
    <n v="-851.46249999999998"/>
    <n v="-727.5"/>
    <n v="-732"/>
    <n v="-732"/>
  </r>
  <r>
    <x v="0"/>
    <s v="Civil Society &amp; Sport"/>
    <s v="Youth community (Headstart)"/>
    <n v="0"/>
    <n v="-216"/>
    <n v="0"/>
    <n v="0"/>
  </r>
  <r>
    <x v="0"/>
    <s v="Skills and Employment"/>
    <s v="SKILLS BOOTCAMPS"/>
    <m/>
    <n v="-20000"/>
    <n v="0"/>
    <n v="0"/>
  </r>
  <r>
    <x v="0"/>
    <s v="Skills and Employment"/>
    <s v="SKILLS MULTIPLY"/>
    <m/>
    <n v="-14300"/>
    <n v="0"/>
    <n v="0"/>
  </r>
  <r>
    <x v="1"/>
    <s v="Culture &amp; Creative Industries "/>
    <s v="Thames Estuary Corridor - MHCLG Income "/>
    <n v="-12"/>
    <n v="0"/>
    <n v="0"/>
    <n v="0"/>
  </r>
  <r>
    <x v="1"/>
    <s v="Environment"/>
    <s v="Staff Budget"/>
    <n v="-476"/>
    <n v="-482"/>
    <n v="-489"/>
    <n v="-1467"/>
  </r>
  <r>
    <x v="1"/>
    <s v="Environment"/>
    <s v="EfL: HEEP Income"/>
    <n v="-193"/>
    <n v="0"/>
    <n v="0"/>
    <n v="0"/>
  </r>
  <r>
    <x v="1"/>
    <s v="Environment"/>
    <s v="H2020 Clever Cities Income"/>
    <n v="-27"/>
    <n v="0"/>
    <n v="0"/>
    <n v="0"/>
  </r>
  <r>
    <x v="1"/>
    <s v="Environment"/>
    <s v="Better Futures - ERDF Income "/>
    <n v="-93"/>
    <n v="-58"/>
    <n v="-58"/>
    <n v="-58"/>
  </r>
  <r>
    <x v="1"/>
    <s v="Environment"/>
    <s v="REFIT Income"/>
    <n v="-369"/>
    <n v="0"/>
    <n v="0"/>
    <n v="0"/>
  </r>
  <r>
    <x v="1"/>
    <s v="Environment"/>
    <s v="DEEP/LEA - ERDF income"/>
    <n v="-800"/>
    <n v="-800"/>
    <n v="0"/>
    <n v="0"/>
  </r>
  <r>
    <x v="1"/>
    <s v="European Programmes Management Unit"/>
    <s v="EPMU - ERDF Technical Assistance "/>
    <n v="-998"/>
    <n v="-1113"/>
    <n v="-1098"/>
    <n v="-1101"/>
  </r>
  <r>
    <x v="1"/>
    <s v="European Programmes Management Unit"/>
    <s v="EPMU - DWP Income "/>
    <n v="-203"/>
    <n v="-203"/>
    <n v="-203"/>
    <n v="-203"/>
  </r>
  <r>
    <x v="1"/>
    <s v="European Programmes Management Unit"/>
    <s v="EPMU - ESF Technical Assistance "/>
    <n v="-407"/>
    <n v="-500"/>
    <n v="-487"/>
    <n v="-490"/>
  </r>
  <r>
    <x v="1"/>
    <s v="Economic Development "/>
    <s v="LEP Core - Grant Income"/>
    <n v="-500"/>
    <n v="-375"/>
    <n v="-375"/>
    <n v="-375"/>
  </r>
  <r>
    <x v="1"/>
    <s v="Economic Development "/>
    <s v="LEP Growth - Grant Income"/>
    <n v="-520"/>
    <n v="-440"/>
    <n v="-440"/>
    <n v="-440"/>
  </r>
  <r>
    <x v="1"/>
    <s v="Transport, Infrastructure &amp; Connectivity "/>
    <s v="London Underground Asset Register - Income"/>
    <n v="-250"/>
    <n v="-250"/>
    <n v="-250"/>
    <n v="-250"/>
  </r>
  <r>
    <x v="2"/>
    <s v="Building Safety"/>
    <s v="Building Safety - Income"/>
    <n v="-2271"/>
    <n v="-3451"/>
    <n v="-3518"/>
    <n v="-3577"/>
  </r>
  <r>
    <x v="2"/>
    <s v="Core"/>
    <s v="Building Safety income recharge (H&amp;L Director)"/>
    <n v="-16"/>
    <n v="-18"/>
    <n v="-17"/>
    <n v="-17"/>
  </r>
  <r>
    <x v="2"/>
    <s v="Delivery &amp; Transactions"/>
    <s v="Business Support (Funded Building Safety) Income"/>
    <n v="-34"/>
    <n v="-77"/>
    <n v="-78"/>
    <n v="-79"/>
  </r>
  <r>
    <x v="2"/>
    <s v="Investment, Operations and Policy"/>
    <s v="Private Rental Sector Checker -  Income"/>
    <n v="0"/>
    <n v="0"/>
    <n v="0"/>
    <n v="0"/>
  </r>
  <r>
    <x v="2"/>
    <s v="Specialist Housing &amp; Services "/>
    <s v="Community Led Housing - Income"/>
    <n v="-2445"/>
    <n v="-1237"/>
    <n v="0"/>
    <n v="0"/>
  </r>
  <r>
    <x v="2"/>
    <s v="Specialist Housing &amp; Services "/>
    <s v="Domestic Abuse - Income"/>
    <n v="-74"/>
    <n v="-16271"/>
    <n v="0"/>
    <n v="0"/>
  </r>
  <r>
    <x v="2"/>
    <s v="Specialist Housing &amp; Services "/>
    <s v="Move On Programme - Income"/>
    <n v="-10"/>
    <n v="-778"/>
    <n v="-424"/>
    <n v="-299"/>
  </r>
  <r>
    <x v="2"/>
    <s v="Specialist Housing &amp; Services "/>
    <s v="Rough Sleeping - CMF - Income"/>
    <n v="0"/>
    <n v="-313"/>
    <n v="0"/>
    <n v="0"/>
  </r>
  <r>
    <x v="2"/>
    <s v="Specialist Housing &amp; Services "/>
    <s v="Rough Sleeping Accommodation Programme - income"/>
    <n v="-9884"/>
    <n v="-10915"/>
    <n v="-5969"/>
    <n v="-1465"/>
  </r>
  <r>
    <x v="2"/>
    <s v="Strategic Property &amp; Projects"/>
    <s v="SPP-Public Land (London Land Commission) - Income"/>
    <n v="-164"/>
    <n v="-165"/>
    <n v="-166"/>
    <n v="0"/>
  </r>
  <r>
    <x v="3"/>
    <s v="Fire &amp; Resilience"/>
    <s v="Resilience staffing (income from MHCLG)"/>
    <n v="-40"/>
    <n v="0"/>
    <n v="0"/>
    <n v="0"/>
  </r>
  <r>
    <x v="3"/>
    <s v="City Operations"/>
    <s v="Major Cermonial income"/>
    <n v="-187"/>
    <n v="-190"/>
    <n v="-200"/>
    <n v="-200"/>
  </r>
  <r>
    <x v="3"/>
    <s v="City Intelligence"/>
    <s v="London Devolution Commission "/>
    <m/>
    <n v="-200"/>
    <n v="-2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04858A-0D96-4BEF-A795-0416BBA743B9}"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Specific grants">
  <location ref="Y4:AC9" firstHeaderRow="0" firstDataRow="1" firstDataCol="1"/>
  <pivotFields count="7">
    <pivotField axis="axisRow" showAll="0">
      <items count="5">
        <item x="0"/>
        <item x="1"/>
        <item x="2"/>
        <item x="3"/>
        <item t="default"/>
      </items>
    </pivotField>
    <pivotField showAll="0"/>
    <pivotField showAll="0"/>
    <pivotField dataField="1" showAll="0"/>
    <pivotField dataField="1" numFmtId="169" showAll="0"/>
    <pivotField dataField="1" numFmtId="169" showAll="0"/>
    <pivotField dataField="1" showAll="0"/>
  </pivotFields>
  <rowFields count="1">
    <field x="0"/>
  </rowFields>
  <rowItems count="5">
    <i>
      <x/>
    </i>
    <i>
      <x v="1"/>
    </i>
    <i>
      <x v="2"/>
    </i>
    <i>
      <x v="3"/>
    </i>
    <i t="grand">
      <x/>
    </i>
  </rowItems>
  <colFields count="1">
    <field x="-2"/>
  </colFields>
  <colItems count="4">
    <i>
      <x/>
    </i>
    <i i="1">
      <x v="1"/>
    </i>
    <i i="2">
      <x v="2"/>
    </i>
    <i i="3">
      <x v="3"/>
    </i>
  </colItems>
  <dataFields count="4">
    <dataField name=" 22-23" fld="3" baseField="0" baseItem="0"/>
    <dataField name=" 23-24" fld="4" baseField="0" baseItem="0"/>
    <dataField name=" 24-25" fld="5" baseField="0" baseItem="0"/>
    <dataField name=" 25-26" fld="6" baseField="0" baseItem="0"/>
  </dataFields>
  <formats count="2">
    <format dxfId="80">
      <pivotArea outline="0" collapsedLevelsAreSubtotals="1" fieldPosition="0"/>
    </format>
    <format dxfId="79">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B64663-F4BD-40EE-A3EB-BD747D3BA6C1}" name="Table2" displayName="Table2" ref="B1:W48" totalsRowShown="0" headerRowDxfId="52" dataDxfId="51">
  <tableColumns count="22">
    <tableColumn id="1" xr3:uid="{60601AD3-912D-4102-9329-A111E058D15D}" name="ID - 2" dataDxfId="50"/>
    <tableColumn id="2" xr3:uid="{C19E6A3A-72BA-46B9-AF40-FB6F3CD77397}" name="Climate Action Area" dataDxfId="49"/>
    <tableColumn id="3" xr3:uid="{7E0B4517-E2D9-444F-B684-9010946AF6F2}" name="Climate Action" dataDxfId="48"/>
    <tableColumn id="4" xr3:uid="{9823C9B2-2AE3-47DA-97CE-533689F09284}" name="Description" dataDxfId="47"/>
    <tableColumn id="5" xr3:uid="{BFA397C0-17BC-43B7-B9B4-AB89DDBFF55A}" name="Funding source" dataDxfId="46"/>
    <tableColumn id="6" xr3:uid="{602051C3-F011-426F-A738-C6BAE8FDBD5E}" name="Year funding starts" dataDxfId="45"/>
    <tableColumn id="7" xr3:uid="{B56B128D-7BC3-4A88-819D-BBBABECC3939}" name="Year funding ends" dataDxfId="44"/>
    <tableColumn id="8" xr3:uid="{08C4B0C0-B8FE-4F25-BF6F-6A8B192CFBA0}" name="Lifetime cumulative CO2e savings, tonnes" dataDxfId="43" dataCellStyle="Comma"/>
    <tableColumn id="9" xr3:uid="{6A3AA3F5-E9EC-47E0-AC5B-57C1F7497276}" name="Year emissions savings start" dataDxfId="42"/>
    <tableColumn id="10" xr3:uid="{BD95B410-3BB1-4401-B564-1B741974F54F}" name="Average annual CO2e savings to 2030, tonnes" dataDxfId="41" dataCellStyle="Comma"/>
    <tableColumn id="11" xr3:uid="{AC3917B2-317B-45DC-8A3B-6AF4D0297670}" name="Co-benefits" dataDxfId="40"/>
    <tableColumn id="13" xr3:uid="{B9E1E5BF-75EE-4B21-BCEA-A207FC53E872}" name="KPI 2023-2024" dataDxfId="39"/>
    <tableColumn id="14" xr3:uid="{E3358C35-6FCC-4A07-BABB-649968D30750}" name="Traffic light progress" dataDxfId="38"/>
    <tableColumn id="15" xr3:uid="{BCF49ADE-4A3B-45F2-8716-327C1AD42FD2}" name="Further information" dataDxfId="37"/>
    <tableColumn id="16" xr3:uid="{8D692E83-A967-4DFC-8AAE-241BC04E15B9}" name="Total Exp. 23-24 £'000" dataDxfId="36" dataCellStyle="Comma"/>
    <tableColumn id="17" xr3:uid="{A831A957-1328-4A9A-A84D-245E27BF2611}" name="Total Exp. 24-25 £'000" dataDxfId="35" dataCellStyle="Comma"/>
    <tableColumn id="18" xr3:uid="{73F65CAE-6853-41A3-A4FF-E7AAB5A3254A}" name="Total Exp. 25-26 £'000" dataDxfId="34" dataCellStyle="Comma"/>
    <tableColumn id="19" xr3:uid="{F9267ED8-48FF-45B8-9725-235E951BB386}" name="Capital/Revenue/Mixed" dataDxfId="33"/>
    <tableColumn id="20" xr3:uid="{AE3B009E-FC0E-4773-9326-8E0AAF9E9766}" name="Total cash savings 23-24 £'000" dataDxfId="32" dataCellStyle="Comma"/>
    <tableColumn id="21" xr3:uid="{2D29814A-806C-4EA2-8C51-1F3E241CFB8A}" name="Total cash savings 24-25 £'000" dataDxfId="31" dataCellStyle="Comma"/>
    <tableColumn id="22" xr3:uid="{4D27C78E-3474-4CE3-955C-E2FC3F540885}" name="Total cash savings 25-26 £'000" dataDxfId="30" dataCellStyle="Comma"/>
    <tableColumn id="23" xr3:uid="{6036183D-C314-4383-A322-1A5CE733E839}" name="Comments" dataDxfId="29"/>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A8D15D-9C51-4E1D-A8F7-6EB9301DCFEA}" name="Table3" displayName="Table3" ref="B1:AB109" totalsRowShown="0" headerRowDxfId="28" dataDxfId="27">
  <tableColumns count="27">
    <tableColumn id="1" xr3:uid="{9D2775E2-BFA0-42E2-94B2-4A04E1C91405}" name="ID - 2" dataDxfId="26"/>
    <tableColumn id="2" xr3:uid="{5089688C-D7E3-4D41-BCBB-C657CB0CE88E}" name="Climate Action Area" dataDxfId="25"/>
    <tableColumn id="3" xr3:uid="{36E86500-19BA-499C-B12A-1FE08EEDE0F3}" name="Climate Action" dataDxfId="24"/>
    <tableColumn id="4" xr3:uid="{CFA8FABA-37D9-477A-8DB1-BF5F0F20E4F8}" name="Description" dataDxfId="23"/>
    <tableColumn id="5" xr3:uid="{855C900D-80F3-458A-BC7A-216C7F602EE3}" name="Funding Source" dataDxfId="22"/>
    <tableColumn id="6" xr3:uid="{0BAF2460-0A53-42AE-BA39-BF5CAD6C9C13}" name="Year funding starts" dataDxfId="21"/>
    <tableColumn id="7" xr3:uid="{812BF3AD-4FAF-4949-9D09-0CF9F52AC926}" name="Year funding ends" dataDxfId="20"/>
    <tableColumn id="8" xr3:uid="{535F9A15-56E1-4455-91EC-457420473204}" name="Lifetime cumulative CO2e savings, tonnes or Enabling Measure" dataDxfId="19" dataCellStyle="Comma"/>
    <tableColumn id="9" xr3:uid="{19D29AD6-C974-4EA9-871F-F28A7CF1204E}" name="Year emissions savings start" dataDxfId="18" dataCellStyle="Comma"/>
    <tableColumn id="10" xr3:uid="{6BFE8E99-DFFF-4411-86B6-6C7164328480}" name="Average annual CO2e savings to 2030, tonnes" dataDxfId="17" dataCellStyle="Comma"/>
    <tableColumn id="11" xr3:uid="{6D235A9A-DA4E-4468-9732-158F5D5B874D}" name="Co-benefits" dataDxfId="16"/>
    <tableColumn id="12" xr3:uid="{863EED91-DF3F-4F3B-BBCC-1746B9CB5107}" name="Responsibility (dept)" dataDxfId="15"/>
    <tableColumn id="13" xr3:uid="{965BC74F-82FE-4C8C-94AA-854E67A28825}" name="Further information" dataDxfId="14"/>
    <tableColumn id="14" xr3:uid="{EB5FFB07-8AA9-4922-86E1-61C689EF1DF6}" name="Proposed Exp. 23-24 £'000" dataDxfId="13" dataCellStyle="Comma"/>
    <tableColumn id="15" xr3:uid="{0F55C0BD-2F24-4FBD-92B6-66F6336D86C3}" name="Proposed Exp. 24-25 £'000" dataDxfId="12" dataCellStyle="Comma"/>
    <tableColumn id="16" xr3:uid="{DBB7D2F6-C895-4890-9990-1994862948B0}" name="Proposed Exp. 25-26 £'000" dataDxfId="11" dataCellStyle="Comma"/>
    <tableColumn id="17" xr3:uid="{DE0891EE-7F9D-466D-9A72-FFC8A2D9AB14}" name="Proposed Exp. 2026-27 to 2030-2031 (incl.) £'000" dataDxfId="10" dataCellStyle="Comma"/>
    <tableColumn id="18" xr3:uid="{3D64927B-90F2-4BD8-9E3B-78733850C199}" name="Total Proposed Expenditure £'000" dataDxfId="9" dataCellStyle="Comma"/>
    <tableColumn id="19" xr3:uid="{7B55B525-4434-4865-A6AA-218013CD627E}" name="Capital/ Revenue/ Mixed" dataDxfId="8"/>
    <tableColumn id="20" xr3:uid="{0B6BC459-EF9D-4756-8F2D-B53F7839C0AA}" name="Proposed cash savings 23-24 £'000" dataDxfId="7" dataCellStyle="Comma"/>
    <tableColumn id="21" xr3:uid="{3305E51D-45D7-475E-B50A-6F1B9CF1F4D4}" name="Proposed cash savings 24-25 £'000" dataDxfId="6" dataCellStyle="Comma"/>
    <tableColumn id="22" xr3:uid="{0B9455A3-12DB-468A-B1B3-E21285CFBC50}" name="Proposed cash savings 25-26 £'000" dataDxfId="5" dataCellStyle="Comma"/>
    <tableColumn id="23" xr3:uid="{64BC6A06-52CF-4D2F-9D7C-084848DEA947}" name="Proposed cash savings 2026-27 to end 2030-2031 £'000" dataDxfId="4" dataCellStyle="Comma"/>
    <tableColumn id="24" xr3:uid="{AF08CF1E-D759-4F5E-90B0-F13DC426FC07}" name="Total Proposed cash savings to end 2030-2031 £'000" dataDxfId="3" dataCellStyle="Comma"/>
    <tableColumn id="25" xr3:uid="{3E4A5866-0BA4-4B06-BF8C-A860C504653D}" name="Grant and/or Debt funding? Provide further details on any debt funding" dataDxfId="2"/>
    <tableColumn id="26" xr3:uid="{94986F15-9380-4173-958F-8FDFECBB133A}" name="Readiness: Immediate/ 2-3y/ 3y+ " dataDxfId="1"/>
    <tableColumn id="27" xr3:uid="{B8638866-E31D-44DB-BF64-55E577E1E651}" name="Comment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7" dT="2021-02-11T16:36:18.48" personId="{93BE9133-C872-4173-89F8-5BE4697C19FF}" id="{9F4AF67C-B6A0-4B4A-AEE4-7A119D8684B9}">
    <text>@Mark Johnson</text>
    <mentions>
      <mention mentionpersonId="{496602AC-02C3-407D-849A-8213DB8459BA}" mentionId="{133032AE-3982-4874-9250-91D981978C0F}" startIndex="0" length="13"/>
    </mentions>
  </threadedComment>
  <threadedComment ref="F17" dT="2021-02-11T16:37:07.59" personId="{93BE9133-C872-4173-89F8-5BE4697C19FF}" id="{6AAEC49E-3307-42EA-BDD7-4A847C699147}" parentId="{9F4AF67C-B6A0-4B4A-AEE4-7A119D8684B9}">
    <text>Hi Mark, Do you have the CTR to the pennies please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london.gov.uk/about-us/londonassembly/meetings/documents/s102584/Appendices%201-7%20Q2%2022-23%20GLA%20Group%20Monitoring%20Reports.pdf" TargetMode="Externa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3:K33"/>
  <sheetViews>
    <sheetView workbookViewId="0">
      <selection activeCell="F31" sqref="F31"/>
    </sheetView>
  </sheetViews>
  <sheetFormatPr defaultColWidth="9.1328125" defaultRowHeight="14.25"/>
  <cols>
    <col min="1" max="1" width="25.3984375" style="36" customWidth="1"/>
    <col min="2" max="2" width="9.3984375" style="36" customWidth="1"/>
    <col min="3" max="4" width="8.1328125" style="36" customWidth="1"/>
    <col min="5" max="5" width="8.86328125" style="36" customWidth="1"/>
    <col min="6" max="6" width="7.86328125" style="36" customWidth="1"/>
    <col min="7" max="16384" width="9.1328125" style="36"/>
  </cols>
  <sheetData>
    <row r="3" spans="1:6">
      <c r="B3" s="68"/>
      <c r="C3" s="467"/>
      <c r="D3" s="467"/>
      <c r="E3" s="467"/>
      <c r="F3" s="467"/>
    </row>
    <row r="4" spans="1:6">
      <c r="A4" s="70"/>
      <c r="B4" s="71" t="s">
        <v>0</v>
      </c>
      <c r="C4" s="71" t="s">
        <v>1</v>
      </c>
      <c r="D4" s="71" t="s">
        <v>2</v>
      </c>
      <c r="E4" s="71" t="s">
        <v>3</v>
      </c>
      <c r="F4" s="71" t="s">
        <v>4</v>
      </c>
    </row>
    <row r="5" spans="1:6">
      <c r="A5" s="67"/>
      <c r="B5" s="468" t="s">
        <v>5</v>
      </c>
      <c r="C5" s="468"/>
      <c r="D5" s="468"/>
      <c r="E5" s="468"/>
      <c r="F5" s="468"/>
    </row>
    <row r="6" spans="1:6">
      <c r="A6" s="63" t="s">
        <v>6</v>
      </c>
      <c r="B6" s="68"/>
      <c r="C6" s="69"/>
      <c r="D6" s="69"/>
      <c r="E6" s="69"/>
      <c r="F6" s="69"/>
    </row>
    <row r="7" spans="1:6">
      <c r="A7" s="36" t="s">
        <v>7</v>
      </c>
      <c r="B7" s="85">
        <v>25</v>
      </c>
      <c r="C7" s="85"/>
      <c r="D7" s="85"/>
      <c r="E7" s="85">
        <v>12.5</v>
      </c>
      <c r="F7" s="85">
        <f>B7-SUM(C7:E7)</f>
        <v>12.5</v>
      </c>
    </row>
    <row r="8" spans="1:6">
      <c r="A8" s="36" t="s">
        <v>8</v>
      </c>
      <c r="B8" s="85">
        <v>17.5</v>
      </c>
      <c r="C8" s="85"/>
      <c r="D8" s="85"/>
      <c r="E8" s="85">
        <v>13.125</v>
      </c>
      <c r="F8" s="85">
        <f t="shared" ref="F8:F21" si="0">B8-SUM(C8:E8)</f>
        <v>4.375</v>
      </c>
    </row>
    <row r="9" spans="1:6">
      <c r="A9" s="36" t="s">
        <v>9</v>
      </c>
      <c r="B9" s="85">
        <v>13.7</v>
      </c>
      <c r="C9" s="85">
        <v>0.22600000000000001</v>
      </c>
      <c r="D9" s="85">
        <v>10.779</v>
      </c>
      <c r="E9" s="85">
        <v>2.6949999999999998</v>
      </c>
      <c r="F9" s="85">
        <f t="shared" si="0"/>
        <v>0</v>
      </c>
    </row>
    <row r="10" spans="1:6">
      <c r="A10" s="36" t="s">
        <v>10</v>
      </c>
      <c r="B10" s="85">
        <v>4</v>
      </c>
      <c r="C10" s="85"/>
      <c r="D10" s="85"/>
      <c r="E10" s="85">
        <v>4</v>
      </c>
      <c r="F10" s="85">
        <f t="shared" si="0"/>
        <v>0</v>
      </c>
    </row>
    <row r="11" spans="1:6">
      <c r="A11" s="36" t="s">
        <v>11</v>
      </c>
      <c r="B11" s="85">
        <v>0.05</v>
      </c>
      <c r="C11" s="85">
        <v>0.05</v>
      </c>
      <c r="D11" s="85"/>
      <c r="E11" s="85"/>
      <c r="F11" s="85">
        <f t="shared" si="0"/>
        <v>0</v>
      </c>
    </row>
    <row r="12" spans="1:6">
      <c r="A12" s="36" t="s">
        <v>12</v>
      </c>
      <c r="B12" s="85">
        <v>10</v>
      </c>
      <c r="C12" s="85"/>
      <c r="D12" s="85">
        <v>5.0730000000000004</v>
      </c>
      <c r="E12" s="85">
        <v>4.9269999999999996</v>
      </c>
      <c r="F12" s="85">
        <f t="shared" si="0"/>
        <v>0</v>
      </c>
    </row>
    <row r="13" spans="1:6">
      <c r="A13" s="36" t="s">
        <v>13</v>
      </c>
      <c r="B13" s="85">
        <v>3.2</v>
      </c>
      <c r="C13" s="85">
        <v>0.32100000000000001</v>
      </c>
      <c r="D13" s="85">
        <v>0.6</v>
      </c>
      <c r="E13" s="85">
        <v>2.2789999999999999</v>
      </c>
      <c r="F13" s="85">
        <f t="shared" si="0"/>
        <v>0</v>
      </c>
    </row>
    <row r="14" spans="1:6">
      <c r="A14" s="36" t="s">
        <v>14</v>
      </c>
      <c r="B14" s="85">
        <v>1</v>
      </c>
      <c r="C14" s="85">
        <v>2.5999999999999999E-2</v>
      </c>
      <c r="D14" s="85"/>
      <c r="E14" s="85">
        <v>0.97399999999999998</v>
      </c>
      <c r="F14" s="85">
        <f t="shared" si="0"/>
        <v>0</v>
      </c>
    </row>
    <row r="15" spans="1:6">
      <c r="A15" s="36" t="s">
        <v>15</v>
      </c>
      <c r="B15" s="85">
        <v>5</v>
      </c>
      <c r="C15" s="85"/>
      <c r="D15" s="85">
        <v>0.8</v>
      </c>
      <c r="E15" s="85">
        <v>1.2250000000000001</v>
      </c>
      <c r="F15" s="85">
        <f t="shared" si="0"/>
        <v>2.9749999999999996</v>
      </c>
    </row>
    <row r="16" spans="1:6">
      <c r="A16" s="36" t="s">
        <v>16</v>
      </c>
      <c r="B16" s="85">
        <v>1.43</v>
      </c>
      <c r="C16" s="85"/>
      <c r="D16" s="85"/>
      <c r="E16" s="85">
        <v>0.71499999999999997</v>
      </c>
      <c r="F16" s="85">
        <f t="shared" si="0"/>
        <v>0.71499999999999997</v>
      </c>
    </row>
    <row r="17" spans="1:11">
      <c r="A17" s="36" t="s">
        <v>17</v>
      </c>
      <c r="B17" s="85">
        <v>8.6999999999999993</v>
      </c>
      <c r="C17" s="85"/>
      <c r="D17" s="85"/>
      <c r="E17" s="85">
        <v>0.95</v>
      </c>
      <c r="F17" s="85">
        <f t="shared" si="0"/>
        <v>7.7499999999999991</v>
      </c>
    </row>
    <row r="18" spans="1:11">
      <c r="A18" s="36" t="s">
        <v>18</v>
      </c>
      <c r="B18" s="85">
        <v>1.1599999999999999</v>
      </c>
      <c r="C18" s="85"/>
      <c r="D18" s="85"/>
      <c r="E18" s="85">
        <v>1.1599999999999999</v>
      </c>
      <c r="F18" s="85">
        <f t="shared" si="0"/>
        <v>0</v>
      </c>
    </row>
    <row r="19" spans="1:11">
      <c r="A19" s="36" t="s">
        <v>19</v>
      </c>
      <c r="B19" s="85">
        <v>0.15</v>
      </c>
      <c r="C19" s="85">
        <v>0.1</v>
      </c>
      <c r="D19" s="85"/>
      <c r="E19" s="85">
        <v>0.05</v>
      </c>
      <c r="F19" s="85">
        <f t="shared" si="0"/>
        <v>0</v>
      </c>
    </row>
    <row r="20" spans="1:11">
      <c r="A20" s="36" t="s">
        <v>20</v>
      </c>
      <c r="B20" s="85">
        <v>11</v>
      </c>
      <c r="C20" s="85"/>
      <c r="D20" s="85"/>
      <c r="E20" s="85">
        <v>5.5</v>
      </c>
      <c r="F20" s="85">
        <f t="shared" si="0"/>
        <v>5.5</v>
      </c>
      <c r="K20" s="36">
        <v>8.5999999999999993E-2</v>
      </c>
    </row>
    <row r="21" spans="1:11">
      <c r="A21" s="36" t="s">
        <v>21</v>
      </c>
      <c r="B21" s="85">
        <v>10.026400000000001</v>
      </c>
      <c r="C21" s="85"/>
      <c r="D21" s="85"/>
      <c r="E21" s="85"/>
      <c r="F21" s="85">
        <f t="shared" si="0"/>
        <v>10.026400000000001</v>
      </c>
    </row>
    <row r="22" spans="1:11">
      <c r="A22" s="36" t="s">
        <v>22</v>
      </c>
      <c r="B22" s="85">
        <f>D27</f>
        <v>60.682614000000001</v>
      </c>
      <c r="C22" s="85"/>
      <c r="D22" s="85"/>
      <c r="E22" s="85">
        <f>D27</f>
        <v>60.682614000000001</v>
      </c>
      <c r="F22" s="85"/>
    </row>
    <row r="23" spans="1:11">
      <c r="A23" s="54" t="s">
        <v>0</v>
      </c>
      <c r="B23" s="84">
        <f>SUM(B7:B22)</f>
        <v>172.59901400000001</v>
      </c>
      <c r="C23" s="84">
        <f>SUM(C7:C21)</f>
        <v>0.72299999999999998</v>
      </c>
      <c r="D23" s="84">
        <f>SUM(D7:D21)</f>
        <v>17.252000000000002</v>
      </c>
      <c r="E23" s="84">
        <f>SUM(E7:E22)</f>
        <v>110.782614</v>
      </c>
      <c r="F23" s="84">
        <f t="shared" ref="F23" si="1">SUM(F7:F21)</f>
        <v>43.8414</v>
      </c>
    </row>
    <row r="24" spans="1:11">
      <c r="B24" s="85"/>
      <c r="C24" s="85"/>
      <c r="D24" s="85"/>
      <c r="E24" s="85"/>
      <c r="F24" s="85"/>
    </row>
    <row r="25" spans="1:11">
      <c r="A25" s="38" t="s">
        <v>23</v>
      </c>
      <c r="B25" s="85"/>
      <c r="C25" s="85"/>
      <c r="D25" s="85"/>
      <c r="E25" s="85"/>
      <c r="F25" s="85"/>
    </row>
    <row r="26" spans="1:11">
      <c r="A26" s="54" t="s">
        <v>24</v>
      </c>
      <c r="B26" s="84"/>
      <c r="C26" s="84">
        <v>0</v>
      </c>
      <c r="D26" s="84">
        <f>C30</f>
        <v>111.193405009328</v>
      </c>
      <c r="E26" s="84">
        <f t="shared" ref="E26:F26" si="2">D30</f>
        <v>154.62401900932798</v>
      </c>
      <c r="F26" s="84">
        <f t="shared" si="2"/>
        <v>43.841405009327985</v>
      </c>
    </row>
    <row r="27" spans="1:11">
      <c r="A27" s="36" t="s">
        <v>25</v>
      </c>
      <c r="B27" s="56"/>
      <c r="C27" s="56">
        <v>111.916405009328</v>
      </c>
      <c r="D27" s="85">
        <v>60.682614000000001</v>
      </c>
      <c r="E27" s="56"/>
      <c r="F27" s="56"/>
    </row>
    <row r="28" spans="1:11">
      <c r="A28" s="36" t="s">
        <v>26</v>
      </c>
      <c r="B28" s="56"/>
      <c r="C28" s="56">
        <f>-C23</f>
        <v>-0.72299999999999998</v>
      </c>
      <c r="D28" s="56">
        <f>-D23</f>
        <v>-17.252000000000002</v>
      </c>
      <c r="E28" s="56">
        <f t="shared" ref="E28:F28" si="3">-E23</f>
        <v>-110.782614</v>
      </c>
      <c r="F28" s="56">
        <f t="shared" si="3"/>
        <v>-43.8414</v>
      </c>
    </row>
    <row r="29" spans="1:11">
      <c r="A29" s="57" t="s">
        <v>27</v>
      </c>
      <c r="B29" s="86"/>
      <c r="C29" s="86">
        <f>SUM(C27:C28)</f>
        <v>111.193405009328</v>
      </c>
      <c r="D29" s="86">
        <f t="shared" ref="D29:F29" si="4">SUM(D27:D28)</f>
        <v>43.430613999999998</v>
      </c>
      <c r="E29" s="86">
        <f t="shared" si="4"/>
        <v>-110.782614</v>
      </c>
      <c r="F29" s="86">
        <f t="shared" si="4"/>
        <v>-43.8414</v>
      </c>
    </row>
    <row r="30" spans="1:11">
      <c r="A30" s="54" t="s">
        <v>28</v>
      </c>
      <c r="B30" s="55"/>
      <c r="C30" s="55">
        <f>SUM(C27:C28)</f>
        <v>111.193405009328</v>
      </c>
      <c r="D30" s="55">
        <f>SUM(D26:D28)</f>
        <v>154.62401900932798</v>
      </c>
      <c r="E30" s="55">
        <f t="shared" ref="E30:F30" si="5">SUM(E26:E28)</f>
        <v>43.841405009327985</v>
      </c>
      <c r="F30" s="55">
        <f t="shared" si="5"/>
        <v>5.0093279853058448E-6</v>
      </c>
    </row>
    <row r="33" spans="1:1">
      <c r="A33" s="57"/>
    </row>
  </sheetData>
  <mergeCells count="2">
    <mergeCell ref="C3:F3"/>
    <mergeCell ref="B5: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963E-FC45-450B-A793-6E5F1FCA23D1}">
  <sheetPr>
    <pageSetUpPr fitToPage="1"/>
  </sheetPr>
  <dimension ref="B2:K10"/>
  <sheetViews>
    <sheetView workbookViewId="0">
      <selection activeCell="C2" sqref="C2:F2"/>
    </sheetView>
  </sheetViews>
  <sheetFormatPr defaultRowHeight="14.25"/>
  <cols>
    <col min="1" max="1" width="4.1328125" customWidth="1"/>
    <col min="2" max="2" width="14.59765625" bestFit="1" customWidth="1"/>
    <col min="3" max="3" width="11.59765625" bestFit="1" customWidth="1"/>
    <col min="6" max="6" width="10.73046875" customWidth="1"/>
    <col min="7" max="7" width="2.59765625" customWidth="1"/>
  </cols>
  <sheetData>
    <row r="2" spans="2:11">
      <c r="C2" s="487" t="s">
        <v>359</v>
      </c>
      <c r="D2" s="488"/>
      <c r="E2" s="488"/>
      <c r="F2" s="488"/>
      <c r="H2" s="487" t="s">
        <v>1434</v>
      </c>
      <c r="I2" s="487"/>
      <c r="J2" s="487"/>
      <c r="K2" s="487"/>
    </row>
    <row r="3" spans="2:11" ht="52.5">
      <c r="C3" s="452" t="s">
        <v>1372</v>
      </c>
      <c r="D3" s="452" t="s">
        <v>1373</v>
      </c>
      <c r="E3" s="452" t="s">
        <v>1374</v>
      </c>
      <c r="F3" s="453" t="s">
        <v>1432</v>
      </c>
      <c r="H3" s="452" t="s">
        <v>766</v>
      </c>
      <c r="I3" s="452" t="s">
        <v>767</v>
      </c>
      <c r="J3" s="452" t="s">
        <v>768</v>
      </c>
      <c r="K3" s="453" t="s">
        <v>1433</v>
      </c>
    </row>
    <row r="4" spans="2:11">
      <c r="B4" s="454" t="s">
        <v>428</v>
      </c>
      <c r="C4" s="102">
        <f>SUM('Climate Measures - Funded'!P3:P7)</f>
        <v>920</v>
      </c>
      <c r="D4" s="102">
        <f>SUM('Climate Measures - Funded'!Q3:Q7)</f>
        <v>0</v>
      </c>
      <c r="E4" s="102">
        <f>SUM('Climate Measures - Funded'!R3:R7)</f>
        <v>0</v>
      </c>
      <c r="F4" s="456">
        <f>SUM(C4:E4)</f>
        <v>920</v>
      </c>
      <c r="H4" s="102">
        <f>SUM('Climate Measures - Funded'!T3:T7)</f>
        <v>0</v>
      </c>
      <c r="I4" s="102">
        <f>SUM('Climate Measures - Funded'!U3:U7)</f>
        <v>0</v>
      </c>
      <c r="J4" s="102">
        <f>SUM('Climate Measures - Funded'!V3:V7)</f>
        <v>0</v>
      </c>
      <c r="K4" s="456">
        <f>SUM(H4:J4)</f>
        <v>0</v>
      </c>
    </row>
    <row r="5" spans="2:11">
      <c r="B5" s="454" t="s">
        <v>37</v>
      </c>
      <c r="C5" s="102">
        <f>SUM('Climate Measures - Funded'!P14:P20)</f>
        <v>10034.508099999999</v>
      </c>
      <c r="D5" s="102">
        <f>SUM('Climate Measures - Funded'!Q14:Q20)</f>
        <v>15919.684139999999</v>
      </c>
      <c r="E5" s="102">
        <f>SUM('Climate Measures - Funded'!R14:R20)</f>
        <v>10899.69155</v>
      </c>
      <c r="F5" s="456">
        <f t="shared" ref="F5:F9" si="0">SUM(C5:E5)</f>
        <v>36853.883789999993</v>
      </c>
      <c r="H5" s="102">
        <f>SUM('Climate Measures - Funded'!T14:T20)</f>
        <v>2147.679854429497</v>
      </c>
      <c r="I5" s="102">
        <f>SUM('Climate Measures - Funded'!U14:U20)</f>
        <v>2859.2244234065865</v>
      </c>
      <c r="J5" s="102">
        <f>SUM('Climate Measures - Funded'!V14:V20)</f>
        <v>2155.9922176253963</v>
      </c>
      <c r="K5" s="456">
        <f t="shared" ref="K5:K9" si="1">SUM(H5:J5)</f>
        <v>7162.8964954614803</v>
      </c>
    </row>
    <row r="6" spans="2:11">
      <c r="B6" s="454" t="s">
        <v>234</v>
      </c>
      <c r="C6" s="102">
        <f>SUM('Climate Measures - Funded'!P22:P32)</f>
        <v>10738</v>
      </c>
      <c r="D6" s="102">
        <f>SUM('Climate Measures - Funded'!Q22:Q32)</f>
        <v>3516</v>
      </c>
      <c r="E6" s="102">
        <f>SUM('Climate Measures - Funded'!R22:R32)</f>
        <v>0</v>
      </c>
      <c r="F6" s="456">
        <f t="shared" si="0"/>
        <v>14254</v>
      </c>
      <c r="H6" s="102">
        <f>SUM('Climate Measures - Funded'!T22:T32)</f>
        <v>0</v>
      </c>
      <c r="I6" s="102">
        <f>SUM('Climate Measures - Funded'!U22:U32)</f>
        <v>247</v>
      </c>
      <c r="J6" s="102">
        <f>SUM('Climate Measures - Funded'!V22:V32)</f>
        <v>247</v>
      </c>
      <c r="K6" s="456">
        <f t="shared" si="1"/>
        <v>494</v>
      </c>
    </row>
    <row r="7" spans="2:11">
      <c r="B7" s="454" t="s">
        <v>1431</v>
      </c>
      <c r="C7" s="102">
        <f>SUM('Climate Measures - Funded'!P34:P41)</f>
        <v>489895</v>
      </c>
      <c r="D7" s="102">
        <f>SUM('Climate Measures - Funded'!Q34:Q41)</f>
        <v>727872</v>
      </c>
      <c r="E7" s="102">
        <f>SUM('Climate Measures - Funded'!R34:R41)</f>
        <v>673536</v>
      </c>
      <c r="F7" s="456">
        <f t="shared" si="0"/>
        <v>1891303</v>
      </c>
      <c r="H7" s="102">
        <f>SUM('Climate Measures - Funded'!T34:T41)</f>
        <v>6848</v>
      </c>
      <c r="I7" s="102">
        <f>SUM('Climate Measures - Funded'!U34:U41)</f>
        <v>11615</v>
      </c>
      <c r="J7" s="102">
        <f>SUM('Climate Measures - Funded'!V34:V41)</f>
        <v>13571</v>
      </c>
      <c r="K7" s="456">
        <f t="shared" si="1"/>
        <v>32034</v>
      </c>
    </row>
    <row r="8" spans="2:11">
      <c r="B8" s="454" t="s">
        <v>114</v>
      </c>
      <c r="C8" s="102">
        <f>SUM('Climate Measures - Funded'!P43:P46)</f>
        <v>1091</v>
      </c>
      <c r="D8" s="102">
        <f>SUM('Climate Measures - Funded'!Q43:Q46)</f>
        <v>0</v>
      </c>
      <c r="E8" s="102">
        <f>SUM('Climate Measures - Funded'!R43:R46)</f>
        <v>0</v>
      </c>
      <c r="F8" s="456">
        <f t="shared" si="0"/>
        <v>1091</v>
      </c>
      <c r="H8" s="102">
        <f>SUM('Climate Measures - Funded'!T43:T46)</f>
        <v>73.942999999999998</v>
      </c>
      <c r="I8" s="102">
        <f>SUM('Climate Measures - Funded'!U43:U46)</f>
        <v>124.54299999999999</v>
      </c>
      <c r="J8" s="102">
        <f>SUM('Climate Measures - Funded'!V43:V46)</f>
        <v>124.54299999999999</v>
      </c>
      <c r="K8" s="456">
        <f t="shared" si="1"/>
        <v>323.029</v>
      </c>
    </row>
    <row r="9" spans="2:11">
      <c r="B9" s="454" t="s">
        <v>235</v>
      </c>
      <c r="C9" s="102">
        <f>SUM('Climate Measures - Funded'!P48)</f>
        <v>130</v>
      </c>
      <c r="D9" s="102">
        <f>SUM('Climate Measures - Funded'!Q48)</f>
        <v>0</v>
      </c>
      <c r="E9" s="102">
        <f>SUM('Climate Measures - Funded'!R48)</f>
        <v>0</v>
      </c>
      <c r="F9" s="456">
        <f t="shared" si="0"/>
        <v>130</v>
      </c>
      <c r="H9" s="102">
        <f>SUM('Climate Measures - Funded'!T48)</f>
        <v>0</v>
      </c>
      <c r="I9" s="102">
        <f>SUM('Climate Measures - Funded'!U48)</f>
        <v>0</v>
      </c>
      <c r="J9" s="102">
        <f>SUM('Climate Measures - Funded'!V48)</f>
        <v>0</v>
      </c>
      <c r="K9" s="456">
        <f t="shared" si="1"/>
        <v>0</v>
      </c>
    </row>
    <row r="10" spans="2:11">
      <c r="B10" s="454" t="s">
        <v>676</v>
      </c>
      <c r="C10" s="455">
        <f>SUM(C4:C9)</f>
        <v>512808.50809999998</v>
      </c>
      <c r="D10" s="455">
        <f t="shared" ref="D10:F10" si="2">SUM(D4:D9)</f>
        <v>747307.68414000003</v>
      </c>
      <c r="E10" s="455">
        <f t="shared" si="2"/>
        <v>684435.69154999999</v>
      </c>
      <c r="F10" s="455">
        <f t="shared" si="2"/>
        <v>1944551.8837899999</v>
      </c>
      <c r="H10" s="455">
        <f>SUM(H4:H9)</f>
        <v>9069.6228544294972</v>
      </c>
      <c r="I10" s="455">
        <f t="shared" ref="I10:K10" si="3">SUM(I4:I9)</f>
        <v>14845.767423406587</v>
      </c>
      <c r="J10" s="455">
        <f t="shared" si="3"/>
        <v>16098.535217625396</v>
      </c>
      <c r="K10" s="455">
        <f t="shared" si="3"/>
        <v>40013.925495461481</v>
      </c>
    </row>
  </sheetData>
  <mergeCells count="2">
    <mergeCell ref="C2:F2"/>
    <mergeCell ref="H2:K2"/>
  </mergeCells>
  <pageMargins left="0.70866141732283472" right="0.70866141732283472" top="0.74803149606299213" bottom="0.74803149606299213" header="0.31496062992125984" footer="0.31496062992125984"/>
  <pageSetup paperSize="9" scale="92" fitToHeight="0" orientation="portrait" r:id="rId1"/>
  <headerFooter>
    <oddHeader>&amp;C&amp;"-,Bold"&amp;12Analysis of currently funded Climate Measures in Consolidated GLA Group Budget 2023-24 to 2025-26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B260-1E44-4DFC-99CA-05C817ABB257}">
  <sheetPr>
    <pageSetUpPr fitToPage="1"/>
  </sheetPr>
  <dimension ref="A1:AS1035"/>
  <sheetViews>
    <sheetView showGridLines="0" tabSelected="1" zoomScale="85" zoomScaleNormal="85" workbookViewId="0">
      <pane xSplit="2" ySplit="1" topLeftCell="C2" activePane="bottomRight" state="frozen"/>
      <selection pane="topRight" activeCell="B1" sqref="B1"/>
      <selection pane="bottomLeft" activeCell="A2" sqref="A2"/>
      <selection pane="bottomRight" activeCell="H36" sqref="H36"/>
    </sheetView>
  </sheetViews>
  <sheetFormatPr defaultColWidth="9.1328125" defaultRowHeight="14.25"/>
  <cols>
    <col min="1" max="1" width="9.1328125" style="451"/>
    <col min="2" max="2" width="11.1328125" style="446" bestFit="1" customWidth="1"/>
    <col min="3" max="3" width="13.59765625" style="446" bestFit="1" customWidth="1"/>
    <col min="4" max="4" width="29.3984375" style="446" bestFit="1" customWidth="1"/>
    <col min="5" max="5" width="50.86328125" style="446" customWidth="1"/>
    <col min="6" max="6" width="12.3984375" style="446" bestFit="1" customWidth="1"/>
    <col min="7" max="8" width="14.59765625" style="447" bestFit="1" customWidth="1"/>
    <col min="9" max="9" width="13.1328125" style="448" customWidth="1"/>
    <col min="10" max="10" width="14.1328125" style="447" bestFit="1" customWidth="1"/>
    <col min="11" max="11" width="14.3984375" style="448" bestFit="1" customWidth="1"/>
    <col min="12" max="12" width="32.265625" style="446" customWidth="1"/>
    <col min="13" max="13" width="42" style="449" customWidth="1"/>
    <col min="14" max="14" width="45.59765625" style="446" customWidth="1"/>
    <col min="15" max="15" width="42.1328125" style="446" customWidth="1"/>
    <col min="16" max="16" width="14.59765625" style="446" bestFit="1" customWidth="1"/>
    <col min="17" max="17" width="13.86328125" style="446" bestFit="1" customWidth="1"/>
    <col min="18" max="20" width="14.1328125" style="450" bestFit="1" customWidth="1"/>
    <col min="21" max="21" width="14.73046875" style="447" bestFit="1" customWidth="1"/>
    <col min="22" max="22" width="14.86328125" style="448" bestFit="1" customWidth="1"/>
    <col min="23" max="23" width="65" style="448" customWidth="1"/>
    <col min="24" max="24" width="14.86328125" bestFit="1" customWidth="1"/>
    <col min="25" max="25" width="90.265625" bestFit="1" customWidth="1"/>
    <col min="26" max="27" width="13.1328125" customWidth="1"/>
    <col min="28" max="45" width="9.06640625" customWidth="1"/>
    <col min="46" max="16384" width="9.1328125" style="451"/>
  </cols>
  <sheetData>
    <row r="1" spans="1:45" s="441" customFormat="1" ht="39.4">
      <c r="A1" s="459" t="s">
        <v>1435</v>
      </c>
      <c r="B1" s="432" t="s">
        <v>1436</v>
      </c>
      <c r="C1" s="432" t="s">
        <v>756</v>
      </c>
      <c r="D1" s="432" t="s">
        <v>757</v>
      </c>
      <c r="E1" s="432" t="s">
        <v>467</v>
      </c>
      <c r="F1" s="432" t="s">
        <v>758</v>
      </c>
      <c r="G1" s="432" t="s">
        <v>759</v>
      </c>
      <c r="H1" s="432" t="s">
        <v>760</v>
      </c>
      <c r="I1" s="432" t="s">
        <v>761</v>
      </c>
      <c r="J1" s="432" t="s">
        <v>762</v>
      </c>
      <c r="K1" s="432" t="s">
        <v>763</v>
      </c>
      <c r="L1" s="432" t="s">
        <v>764</v>
      </c>
      <c r="M1" s="432" t="s">
        <v>1366</v>
      </c>
      <c r="N1" s="432" t="s">
        <v>1371</v>
      </c>
      <c r="O1" s="432" t="s">
        <v>136</v>
      </c>
      <c r="P1" s="432" t="s">
        <v>1372</v>
      </c>
      <c r="Q1" s="432" t="s">
        <v>1373</v>
      </c>
      <c r="R1" s="432" t="s">
        <v>1374</v>
      </c>
      <c r="S1" s="432" t="s">
        <v>765</v>
      </c>
      <c r="T1" s="432" t="s">
        <v>766</v>
      </c>
      <c r="U1" s="432" t="s">
        <v>767</v>
      </c>
      <c r="V1" s="432" t="s">
        <v>768</v>
      </c>
      <c r="W1" s="432" t="s">
        <v>769</v>
      </c>
      <c r="X1"/>
      <c r="Y1"/>
      <c r="Z1"/>
      <c r="AA1"/>
      <c r="AB1"/>
      <c r="AC1"/>
      <c r="AD1"/>
      <c r="AE1"/>
      <c r="AF1"/>
      <c r="AG1"/>
      <c r="AH1"/>
      <c r="AI1"/>
      <c r="AJ1"/>
      <c r="AK1"/>
      <c r="AL1"/>
      <c r="AM1"/>
      <c r="AN1"/>
      <c r="AO1"/>
      <c r="AP1"/>
      <c r="AQ1"/>
      <c r="AR1"/>
      <c r="AS1"/>
    </row>
    <row r="2" spans="1:45" s="444" customFormat="1">
      <c r="A2" s="460"/>
      <c r="B2" s="439"/>
      <c r="C2" s="439"/>
      <c r="D2" s="442" t="s">
        <v>232</v>
      </c>
      <c r="E2" s="439"/>
      <c r="F2" s="439"/>
      <c r="G2" s="432"/>
      <c r="H2" s="432"/>
      <c r="I2" s="435"/>
      <c r="J2" s="432"/>
      <c r="K2" s="435"/>
      <c r="L2" s="439"/>
      <c r="M2" s="442"/>
      <c r="N2" s="439"/>
      <c r="O2" s="439"/>
      <c r="P2" s="435"/>
      <c r="Q2" s="435"/>
      <c r="R2" s="435"/>
      <c r="S2" s="445"/>
      <c r="T2" s="435"/>
      <c r="U2" s="435"/>
      <c r="V2" s="435"/>
      <c r="W2" s="439"/>
      <c r="X2"/>
      <c r="Y2"/>
      <c r="Z2"/>
      <c r="AA2"/>
      <c r="AB2"/>
      <c r="AC2"/>
      <c r="AD2"/>
      <c r="AE2"/>
      <c r="AF2"/>
      <c r="AG2"/>
      <c r="AH2"/>
      <c r="AI2"/>
      <c r="AJ2"/>
      <c r="AK2"/>
      <c r="AL2"/>
      <c r="AM2"/>
      <c r="AN2"/>
      <c r="AO2"/>
      <c r="AP2"/>
      <c r="AQ2"/>
      <c r="AR2"/>
      <c r="AS2"/>
    </row>
    <row r="3" spans="1:45" s="444" customFormat="1" ht="39.4">
      <c r="A3" s="461" t="s">
        <v>36</v>
      </c>
      <c r="B3" s="439" t="s">
        <v>959</v>
      </c>
      <c r="C3" s="439" t="s">
        <v>770</v>
      </c>
      <c r="D3" s="439" t="s">
        <v>937</v>
      </c>
      <c r="E3" s="439" t="s">
        <v>938</v>
      </c>
      <c r="F3" s="439" t="s">
        <v>939</v>
      </c>
      <c r="G3" s="432" t="s">
        <v>940</v>
      </c>
      <c r="H3" s="432" t="s">
        <v>941</v>
      </c>
      <c r="I3" s="435" t="s">
        <v>942</v>
      </c>
      <c r="J3" s="432" t="s">
        <v>942</v>
      </c>
      <c r="K3" s="435" t="s">
        <v>942</v>
      </c>
      <c r="L3" s="439" t="s">
        <v>807</v>
      </c>
      <c r="M3" s="439" t="s">
        <v>943</v>
      </c>
      <c r="N3" s="439" t="s">
        <v>774</v>
      </c>
      <c r="O3" s="439" t="s">
        <v>807</v>
      </c>
      <c r="P3" s="435">
        <v>40</v>
      </c>
      <c r="Q3" s="435" t="s">
        <v>807</v>
      </c>
      <c r="R3" s="435" t="s">
        <v>807</v>
      </c>
      <c r="S3" s="445" t="s">
        <v>944</v>
      </c>
      <c r="T3" s="435" t="s">
        <v>807</v>
      </c>
      <c r="U3" s="435" t="s">
        <v>807</v>
      </c>
      <c r="V3" s="435" t="s">
        <v>807</v>
      </c>
      <c r="W3" s="439"/>
      <c r="X3"/>
      <c r="Y3"/>
      <c r="Z3"/>
      <c r="AA3"/>
      <c r="AB3"/>
      <c r="AC3"/>
      <c r="AD3"/>
      <c r="AE3"/>
      <c r="AF3"/>
      <c r="AG3"/>
      <c r="AH3"/>
      <c r="AI3"/>
      <c r="AJ3"/>
      <c r="AK3"/>
      <c r="AL3"/>
      <c r="AM3"/>
      <c r="AN3"/>
      <c r="AO3"/>
      <c r="AP3"/>
      <c r="AQ3"/>
      <c r="AR3"/>
      <c r="AS3"/>
    </row>
    <row r="4" spans="1:45" s="444" customFormat="1" ht="52.5">
      <c r="A4" s="460" t="s">
        <v>36</v>
      </c>
      <c r="B4" s="439" t="s">
        <v>960</v>
      </c>
      <c r="C4" s="439" t="s">
        <v>770</v>
      </c>
      <c r="D4" s="439" t="s">
        <v>945</v>
      </c>
      <c r="E4" s="439" t="s">
        <v>946</v>
      </c>
      <c r="F4" s="439" t="s">
        <v>939</v>
      </c>
      <c r="G4" s="432" t="s">
        <v>947</v>
      </c>
      <c r="H4" s="432" t="s">
        <v>947</v>
      </c>
      <c r="I4" s="435" t="s">
        <v>1382</v>
      </c>
      <c r="J4" s="432" t="s">
        <v>947</v>
      </c>
      <c r="K4" s="435">
        <v>10</v>
      </c>
      <c r="L4" s="439" t="s">
        <v>807</v>
      </c>
      <c r="M4" s="439" t="s">
        <v>948</v>
      </c>
      <c r="N4" s="439" t="s">
        <v>774</v>
      </c>
      <c r="O4" s="439" t="s">
        <v>807</v>
      </c>
      <c r="P4" s="435">
        <v>200</v>
      </c>
      <c r="Q4" s="435" t="s">
        <v>807</v>
      </c>
      <c r="R4" s="435" t="s">
        <v>807</v>
      </c>
      <c r="S4" s="445" t="s">
        <v>801</v>
      </c>
      <c r="T4" s="435" t="s">
        <v>774</v>
      </c>
      <c r="U4" s="435" t="s">
        <v>774</v>
      </c>
      <c r="V4" s="435" t="s">
        <v>774</v>
      </c>
      <c r="W4" s="439" t="s">
        <v>1378</v>
      </c>
      <c r="X4"/>
      <c r="Y4"/>
      <c r="Z4"/>
      <c r="AA4"/>
      <c r="AB4"/>
      <c r="AC4"/>
      <c r="AD4"/>
      <c r="AE4"/>
      <c r="AF4"/>
      <c r="AG4"/>
      <c r="AH4"/>
      <c r="AI4"/>
      <c r="AJ4"/>
      <c r="AK4"/>
      <c r="AL4"/>
      <c r="AM4"/>
      <c r="AN4"/>
      <c r="AO4"/>
      <c r="AP4"/>
      <c r="AQ4"/>
      <c r="AR4"/>
      <c r="AS4"/>
    </row>
    <row r="5" spans="1:45" s="444" customFormat="1" ht="26.25">
      <c r="A5" s="461" t="s">
        <v>36</v>
      </c>
      <c r="B5" s="439" t="s">
        <v>961</v>
      </c>
      <c r="C5" s="439" t="s">
        <v>770</v>
      </c>
      <c r="D5" s="439" t="s">
        <v>949</v>
      </c>
      <c r="E5" s="439" t="s">
        <v>950</v>
      </c>
      <c r="F5" s="439" t="s">
        <v>939</v>
      </c>
      <c r="G5" s="432" t="s">
        <v>947</v>
      </c>
      <c r="H5" s="432" t="s">
        <v>947</v>
      </c>
      <c r="I5" s="435" t="s">
        <v>942</v>
      </c>
      <c r="J5" s="432" t="s">
        <v>947</v>
      </c>
      <c r="K5" s="435" t="s">
        <v>942</v>
      </c>
      <c r="L5" s="439" t="s">
        <v>807</v>
      </c>
      <c r="M5" s="439" t="s">
        <v>951</v>
      </c>
      <c r="N5" s="439" t="s">
        <v>774</v>
      </c>
      <c r="O5" s="439" t="s">
        <v>807</v>
      </c>
      <c r="P5" s="435">
        <v>50</v>
      </c>
      <c r="Q5" s="435" t="s">
        <v>807</v>
      </c>
      <c r="R5" s="435" t="s">
        <v>807</v>
      </c>
      <c r="S5" s="445" t="s">
        <v>807</v>
      </c>
      <c r="T5" s="435" t="s">
        <v>774</v>
      </c>
      <c r="U5" s="435" t="s">
        <v>774</v>
      </c>
      <c r="V5" s="435" t="s">
        <v>774</v>
      </c>
      <c r="W5" s="439" t="s">
        <v>1377</v>
      </c>
      <c r="X5"/>
      <c r="Y5"/>
      <c r="Z5"/>
      <c r="AA5"/>
      <c r="AB5"/>
      <c r="AC5"/>
      <c r="AD5"/>
      <c r="AE5"/>
      <c r="AF5"/>
      <c r="AG5"/>
      <c r="AH5"/>
      <c r="AI5"/>
      <c r="AJ5"/>
      <c r="AK5"/>
      <c r="AL5"/>
      <c r="AM5"/>
      <c r="AN5"/>
      <c r="AO5"/>
      <c r="AP5"/>
      <c r="AQ5"/>
      <c r="AR5"/>
      <c r="AS5"/>
    </row>
    <row r="6" spans="1:45" s="444" customFormat="1" ht="65.650000000000006">
      <c r="A6" s="460" t="s">
        <v>36</v>
      </c>
      <c r="B6" s="439" t="s">
        <v>962</v>
      </c>
      <c r="C6" s="439" t="s">
        <v>770</v>
      </c>
      <c r="D6" s="439" t="s">
        <v>952</v>
      </c>
      <c r="E6" s="439" t="s">
        <v>953</v>
      </c>
      <c r="F6" s="439" t="s">
        <v>939</v>
      </c>
      <c r="G6" s="432" t="s">
        <v>947</v>
      </c>
      <c r="H6" s="432" t="s">
        <v>947</v>
      </c>
      <c r="I6" s="435" t="s">
        <v>942</v>
      </c>
      <c r="J6" s="432" t="s">
        <v>947</v>
      </c>
      <c r="K6" s="435" t="s">
        <v>942</v>
      </c>
      <c r="L6" s="439" t="s">
        <v>807</v>
      </c>
      <c r="M6" s="439" t="s">
        <v>954</v>
      </c>
      <c r="N6" s="439" t="s">
        <v>774</v>
      </c>
      <c r="O6" s="439" t="s">
        <v>807</v>
      </c>
      <c r="P6" s="435">
        <v>30</v>
      </c>
      <c r="Q6" s="435" t="s">
        <v>807</v>
      </c>
      <c r="R6" s="435" t="s">
        <v>807</v>
      </c>
      <c r="S6" s="445" t="s">
        <v>786</v>
      </c>
      <c r="T6" s="435" t="s">
        <v>774</v>
      </c>
      <c r="U6" s="435" t="s">
        <v>774</v>
      </c>
      <c r="V6" s="435" t="s">
        <v>774</v>
      </c>
      <c r="W6" s="439" t="s">
        <v>1379</v>
      </c>
      <c r="X6"/>
      <c r="Y6"/>
      <c r="Z6"/>
      <c r="AA6"/>
      <c r="AB6"/>
      <c r="AC6"/>
      <c r="AD6"/>
      <c r="AE6"/>
      <c r="AF6"/>
      <c r="AG6"/>
      <c r="AH6"/>
      <c r="AI6"/>
      <c r="AJ6"/>
      <c r="AK6"/>
      <c r="AL6"/>
      <c r="AM6"/>
      <c r="AN6"/>
      <c r="AO6"/>
      <c r="AP6"/>
      <c r="AQ6"/>
      <c r="AR6"/>
      <c r="AS6"/>
    </row>
    <row r="7" spans="1:45" s="444" customFormat="1" ht="52.5">
      <c r="A7" s="461" t="s">
        <v>36</v>
      </c>
      <c r="B7" s="439" t="s">
        <v>963</v>
      </c>
      <c r="C7" s="439" t="s">
        <v>770</v>
      </c>
      <c r="D7" s="439" t="s">
        <v>955</v>
      </c>
      <c r="E7" s="439" t="s">
        <v>956</v>
      </c>
      <c r="F7" s="439" t="s">
        <v>939</v>
      </c>
      <c r="G7" s="432" t="s">
        <v>957</v>
      </c>
      <c r="H7" s="465" t="s">
        <v>129</v>
      </c>
      <c r="I7" s="435" t="s">
        <v>1381</v>
      </c>
      <c r="J7" s="432" t="s">
        <v>947</v>
      </c>
      <c r="K7" s="435">
        <v>4</v>
      </c>
      <c r="L7" s="439" t="s">
        <v>807</v>
      </c>
      <c r="M7" s="439" t="s">
        <v>958</v>
      </c>
      <c r="N7" s="439" t="s">
        <v>774</v>
      </c>
      <c r="O7" s="439" t="s">
        <v>807</v>
      </c>
      <c r="P7" s="435">
        <v>600</v>
      </c>
      <c r="Q7" s="435" t="s">
        <v>807</v>
      </c>
      <c r="R7" s="435" t="s">
        <v>807</v>
      </c>
      <c r="S7" s="445" t="s">
        <v>786</v>
      </c>
      <c r="T7" s="435" t="s">
        <v>807</v>
      </c>
      <c r="U7" s="435" t="s">
        <v>774</v>
      </c>
      <c r="V7" s="435" t="s">
        <v>774</v>
      </c>
      <c r="W7" s="439" t="s">
        <v>1380</v>
      </c>
      <c r="X7"/>
      <c r="Y7"/>
      <c r="Z7"/>
      <c r="AA7"/>
      <c r="AB7"/>
      <c r="AC7"/>
      <c r="AD7"/>
      <c r="AE7"/>
      <c r="AF7"/>
      <c r="AG7"/>
      <c r="AH7"/>
      <c r="AI7"/>
      <c r="AJ7"/>
      <c r="AK7"/>
      <c r="AL7"/>
      <c r="AM7"/>
      <c r="AN7"/>
      <c r="AO7"/>
      <c r="AP7"/>
      <c r="AQ7"/>
      <c r="AR7"/>
      <c r="AS7"/>
    </row>
    <row r="8" spans="1:45" s="444" customFormat="1">
      <c r="A8" s="460"/>
      <c r="B8" s="439"/>
      <c r="C8" s="439"/>
      <c r="D8" s="442" t="s">
        <v>985</v>
      </c>
      <c r="E8" s="439"/>
      <c r="F8" s="439"/>
      <c r="G8" s="432"/>
      <c r="H8" s="432"/>
      <c r="I8" s="435"/>
      <c r="J8" s="432"/>
      <c r="K8" s="435"/>
      <c r="L8" s="439"/>
      <c r="M8" s="442"/>
      <c r="N8" s="439"/>
      <c r="O8" s="439"/>
      <c r="P8" s="435"/>
      <c r="Q8" s="435"/>
      <c r="R8" s="435"/>
      <c r="S8" s="445"/>
      <c r="T8" s="435"/>
      <c r="U8" s="435"/>
      <c r="V8" s="435"/>
      <c r="W8" s="439"/>
      <c r="X8"/>
      <c r="Y8"/>
      <c r="Z8"/>
      <c r="AA8"/>
      <c r="AB8"/>
      <c r="AC8"/>
      <c r="AD8"/>
      <c r="AE8"/>
      <c r="AF8"/>
      <c r="AG8"/>
      <c r="AH8"/>
      <c r="AI8"/>
      <c r="AJ8"/>
      <c r="AK8"/>
      <c r="AL8"/>
      <c r="AM8"/>
      <c r="AN8"/>
      <c r="AO8"/>
      <c r="AP8"/>
      <c r="AQ8"/>
      <c r="AR8"/>
      <c r="AS8"/>
    </row>
    <row r="9" spans="1:45" s="444" customFormat="1" ht="131.25">
      <c r="A9" s="461" t="s">
        <v>985</v>
      </c>
      <c r="B9" s="439" t="s">
        <v>981</v>
      </c>
      <c r="C9" s="439" t="s">
        <v>968</v>
      </c>
      <c r="D9" s="439" t="s">
        <v>969</v>
      </c>
      <c r="E9" s="439" t="s">
        <v>970</v>
      </c>
      <c r="F9" s="439" t="s">
        <v>971</v>
      </c>
      <c r="G9" s="432" t="s">
        <v>1362</v>
      </c>
      <c r="H9" s="432" t="s">
        <v>807</v>
      </c>
      <c r="I9" s="435" t="s">
        <v>774</v>
      </c>
      <c r="J9" s="432" t="s">
        <v>947</v>
      </c>
      <c r="K9" s="435">
        <v>0.1</v>
      </c>
      <c r="L9" s="439" t="s">
        <v>972</v>
      </c>
      <c r="M9" s="439" t="s">
        <v>973</v>
      </c>
      <c r="N9" s="439"/>
      <c r="O9" s="439"/>
      <c r="P9" s="435" t="s">
        <v>807</v>
      </c>
      <c r="Q9" s="435" t="s">
        <v>807</v>
      </c>
      <c r="R9" s="435" t="s">
        <v>807</v>
      </c>
      <c r="S9" s="445" t="s">
        <v>884</v>
      </c>
      <c r="T9" s="435" t="s">
        <v>807</v>
      </c>
      <c r="U9" s="435" t="s">
        <v>807</v>
      </c>
      <c r="V9" s="435" t="s">
        <v>807</v>
      </c>
      <c r="W9" s="439" t="s">
        <v>974</v>
      </c>
      <c r="X9"/>
      <c r="Y9"/>
      <c r="Z9"/>
      <c r="AA9"/>
      <c r="AB9"/>
      <c r="AC9"/>
      <c r="AD9"/>
      <c r="AE9"/>
      <c r="AF9"/>
      <c r="AG9"/>
      <c r="AH9"/>
      <c r="AI9"/>
      <c r="AJ9"/>
      <c r="AK9"/>
      <c r="AL9"/>
      <c r="AM9"/>
      <c r="AN9"/>
      <c r="AO9"/>
      <c r="AP9"/>
      <c r="AQ9"/>
      <c r="AR9"/>
      <c r="AS9"/>
    </row>
    <row r="10" spans="1:45" s="444" customFormat="1" ht="52.5">
      <c r="A10" s="460" t="s">
        <v>985</v>
      </c>
      <c r="B10" s="439" t="s">
        <v>982</v>
      </c>
      <c r="C10" s="439" t="s">
        <v>770</v>
      </c>
      <c r="D10" s="439" t="s">
        <v>964</v>
      </c>
      <c r="E10" s="439" t="s">
        <v>975</v>
      </c>
      <c r="F10" s="439" t="s">
        <v>240</v>
      </c>
      <c r="G10" s="432" t="s">
        <v>947</v>
      </c>
      <c r="H10" s="432" t="s">
        <v>947</v>
      </c>
      <c r="I10" s="435" t="s">
        <v>774</v>
      </c>
      <c r="J10" s="432" t="s">
        <v>774</v>
      </c>
      <c r="K10" s="435" t="s">
        <v>774</v>
      </c>
      <c r="L10" s="439"/>
      <c r="M10" s="439" t="s">
        <v>976</v>
      </c>
      <c r="N10" s="439"/>
      <c r="O10" s="439"/>
      <c r="P10" s="435"/>
      <c r="Q10" s="435"/>
      <c r="R10" s="435"/>
      <c r="S10" s="445"/>
      <c r="T10" s="435"/>
      <c r="U10" s="435"/>
      <c r="V10" s="435"/>
      <c r="W10" s="439" t="s">
        <v>977</v>
      </c>
      <c r="X10"/>
      <c r="Y10"/>
      <c r="Z10"/>
      <c r="AA10"/>
      <c r="AB10"/>
      <c r="AC10"/>
      <c r="AD10"/>
      <c r="AE10"/>
      <c r="AF10"/>
      <c r="AG10"/>
      <c r="AH10"/>
      <c r="AI10"/>
      <c r="AJ10"/>
      <c r="AK10"/>
      <c r="AL10"/>
      <c r="AM10"/>
      <c r="AN10"/>
      <c r="AO10"/>
      <c r="AP10"/>
      <c r="AQ10"/>
      <c r="AR10"/>
      <c r="AS10"/>
    </row>
    <row r="11" spans="1:45" s="444" customFormat="1" ht="39.4">
      <c r="A11" s="461" t="s">
        <v>985</v>
      </c>
      <c r="B11" s="439" t="s">
        <v>983</v>
      </c>
      <c r="C11" s="439" t="s">
        <v>770</v>
      </c>
      <c r="D11" s="439" t="s">
        <v>965</v>
      </c>
      <c r="E11" s="439" t="s">
        <v>978</v>
      </c>
      <c r="F11" s="439" t="s">
        <v>240</v>
      </c>
      <c r="G11" s="432" t="s">
        <v>947</v>
      </c>
      <c r="H11" s="432" t="s">
        <v>947</v>
      </c>
      <c r="I11" s="435" t="s">
        <v>774</v>
      </c>
      <c r="J11" s="432" t="s">
        <v>774</v>
      </c>
      <c r="K11" s="435" t="s">
        <v>774</v>
      </c>
      <c r="L11" s="439" t="s">
        <v>966</v>
      </c>
      <c r="M11" s="439" t="s">
        <v>976</v>
      </c>
      <c r="N11" s="439"/>
      <c r="O11" s="439"/>
      <c r="P11" s="435"/>
      <c r="Q11" s="435"/>
      <c r="R11" s="435"/>
      <c r="S11" s="445"/>
      <c r="T11" s="435"/>
      <c r="U11" s="435"/>
      <c r="V11" s="435"/>
      <c r="W11" s="439" t="s">
        <v>979</v>
      </c>
      <c r="X11"/>
      <c r="Y11"/>
      <c r="Z11"/>
      <c r="AA11"/>
      <c r="AB11"/>
      <c r="AC11"/>
      <c r="AD11"/>
      <c r="AE11"/>
      <c r="AF11"/>
      <c r="AG11"/>
      <c r="AH11"/>
      <c r="AI11"/>
      <c r="AJ11"/>
      <c r="AK11"/>
      <c r="AL11"/>
      <c r="AM11"/>
      <c r="AN11"/>
      <c r="AO11"/>
      <c r="AP11"/>
      <c r="AQ11"/>
      <c r="AR11"/>
      <c r="AS11"/>
    </row>
    <row r="12" spans="1:45" s="444" customFormat="1" ht="52.5">
      <c r="A12" s="460" t="s">
        <v>985</v>
      </c>
      <c r="B12" s="439" t="s">
        <v>984</v>
      </c>
      <c r="C12" s="439" t="s">
        <v>433</v>
      </c>
      <c r="D12" s="439" t="s">
        <v>967</v>
      </c>
      <c r="E12" s="439" t="s">
        <v>980</v>
      </c>
      <c r="F12" s="439" t="s">
        <v>240</v>
      </c>
      <c r="G12" s="432" t="s">
        <v>947</v>
      </c>
      <c r="H12" s="432" t="s">
        <v>947</v>
      </c>
      <c r="I12" s="435" t="s">
        <v>774</v>
      </c>
      <c r="J12" s="432" t="s">
        <v>774</v>
      </c>
      <c r="K12" s="435" t="s">
        <v>774</v>
      </c>
      <c r="L12" s="439" t="s">
        <v>966</v>
      </c>
      <c r="M12" s="439" t="s">
        <v>976</v>
      </c>
      <c r="N12" s="439"/>
      <c r="O12" s="439"/>
      <c r="P12" s="435"/>
      <c r="Q12" s="435"/>
      <c r="R12" s="435"/>
      <c r="S12" s="445"/>
      <c r="T12" s="435"/>
      <c r="U12" s="435"/>
      <c r="V12" s="435"/>
      <c r="W12" s="439" t="s">
        <v>979</v>
      </c>
      <c r="X12"/>
      <c r="Y12"/>
      <c r="Z12"/>
      <c r="AA12"/>
      <c r="AB12"/>
      <c r="AC12"/>
      <c r="AD12"/>
      <c r="AE12"/>
      <c r="AF12"/>
      <c r="AG12"/>
      <c r="AH12"/>
      <c r="AI12"/>
      <c r="AJ12"/>
      <c r="AK12"/>
      <c r="AL12"/>
      <c r="AM12"/>
      <c r="AN12"/>
      <c r="AO12"/>
      <c r="AP12"/>
      <c r="AQ12"/>
      <c r="AR12"/>
      <c r="AS12"/>
    </row>
    <row r="13" spans="1:45" s="444" customFormat="1">
      <c r="A13" s="461"/>
      <c r="B13" s="439"/>
      <c r="C13" s="439"/>
      <c r="D13" s="442" t="s">
        <v>37</v>
      </c>
      <c r="E13" s="439"/>
      <c r="F13" s="439"/>
      <c r="G13" s="432"/>
      <c r="H13" s="432"/>
      <c r="I13" s="435"/>
      <c r="J13" s="432"/>
      <c r="K13" s="435"/>
      <c r="L13" s="439"/>
      <c r="M13" s="442" t="s">
        <v>37</v>
      </c>
      <c r="N13" s="439"/>
      <c r="O13" s="439"/>
      <c r="P13" s="435"/>
      <c r="Q13" s="435"/>
      <c r="R13" s="435"/>
      <c r="S13" s="445"/>
      <c r="T13" s="435"/>
      <c r="U13" s="435"/>
      <c r="V13" s="435"/>
      <c r="W13" s="439"/>
      <c r="X13"/>
      <c r="Y13"/>
      <c r="Z13"/>
      <c r="AA13"/>
      <c r="AB13"/>
      <c r="AC13"/>
      <c r="AD13"/>
      <c r="AE13"/>
      <c r="AF13"/>
      <c r="AG13"/>
      <c r="AH13"/>
      <c r="AI13"/>
      <c r="AJ13"/>
      <c r="AK13"/>
      <c r="AL13"/>
      <c r="AM13"/>
      <c r="AN13"/>
      <c r="AO13"/>
      <c r="AP13"/>
      <c r="AQ13"/>
      <c r="AR13"/>
      <c r="AS13"/>
    </row>
    <row r="14" spans="1:45" s="444" customFormat="1" ht="52.5">
      <c r="A14" s="460" t="s">
        <v>37</v>
      </c>
      <c r="B14" s="439" t="s">
        <v>838</v>
      </c>
      <c r="C14" s="439" t="s">
        <v>770</v>
      </c>
      <c r="D14" s="439" t="s">
        <v>809</v>
      </c>
      <c r="E14" s="439" t="s">
        <v>1369</v>
      </c>
      <c r="F14" s="439" t="s">
        <v>1370</v>
      </c>
      <c r="G14" s="432" t="s">
        <v>1365</v>
      </c>
      <c r="H14" s="432" t="s">
        <v>941</v>
      </c>
      <c r="I14" s="435">
        <v>7977.5234091871744</v>
      </c>
      <c r="J14" s="432" t="s">
        <v>1362</v>
      </c>
      <c r="K14" s="435">
        <v>835.15749517945608</v>
      </c>
      <c r="L14" s="439"/>
      <c r="M14" s="439" t="s">
        <v>810</v>
      </c>
      <c r="N14" s="439" t="s">
        <v>811</v>
      </c>
      <c r="O14" s="439" t="s">
        <v>807</v>
      </c>
      <c r="P14" s="435">
        <v>6640</v>
      </c>
      <c r="Q14" s="435">
        <v>6640</v>
      </c>
      <c r="R14" s="435">
        <v>3320</v>
      </c>
      <c r="S14" s="445" t="s">
        <v>786</v>
      </c>
      <c r="T14" s="435">
        <v>1126.5160783548001</v>
      </c>
      <c r="U14" s="435">
        <v>1446.7658213151765</v>
      </c>
      <c r="V14" s="435">
        <v>1057.3388003868074</v>
      </c>
      <c r="W14" s="439" t="s">
        <v>1428</v>
      </c>
      <c r="X14"/>
      <c r="Y14"/>
      <c r="Z14"/>
      <c r="AA14"/>
      <c r="AB14"/>
      <c r="AC14"/>
      <c r="AD14"/>
      <c r="AE14"/>
      <c r="AF14"/>
      <c r="AG14"/>
      <c r="AH14"/>
      <c r="AI14"/>
      <c r="AJ14"/>
      <c r="AK14"/>
      <c r="AL14"/>
      <c r="AM14"/>
      <c r="AN14"/>
      <c r="AO14"/>
      <c r="AP14"/>
      <c r="AQ14"/>
      <c r="AR14"/>
      <c r="AS14"/>
    </row>
    <row r="15" spans="1:45" s="444" customFormat="1" ht="52.5">
      <c r="A15" s="461" t="s">
        <v>37</v>
      </c>
      <c r="B15" s="439" t="s">
        <v>839</v>
      </c>
      <c r="C15" s="439" t="s">
        <v>770</v>
      </c>
      <c r="D15" s="439" t="s">
        <v>812</v>
      </c>
      <c r="E15" s="439" t="s">
        <v>813</v>
      </c>
      <c r="F15" s="439" t="s">
        <v>1370</v>
      </c>
      <c r="G15" s="432" t="s">
        <v>1363</v>
      </c>
      <c r="H15" s="432" t="s">
        <v>1363</v>
      </c>
      <c r="I15" s="435">
        <v>4362.3449320004747</v>
      </c>
      <c r="J15" s="432" t="s">
        <v>941</v>
      </c>
      <c r="K15" s="435">
        <v>333.91060116649612</v>
      </c>
      <c r="L15" s="439"/>
      <c r="M15" s="439" t="s">
        <v>810</v>
      </c>
      <c r="N15" s="439" t="s">
        <v>811</v>
      </c>
      <c r="O15" s="439" t="s">
        <v>807</v>
      </c>
      <c r="P15" s="435"/>
      <c r="Q15" s="435">
        <v>5200</v>
      </c>
      <c r="R15" s="435"/>
      <c r="S15" s="445" t="s">
        <v>786</v>
      </c>
      <c r="T15" s="435">
        <v>0</v>
      </c>
      <c r="U15" s="435">
        <v>0</v>
      </c>
      <c r="V15" s="435">
        <v>80.954781792837977</v>
      </c>
      <c r="W15" s="439" t="s">
        <v>814</v>
      </c>
      <c r="X15"/>
      <c r="Y15"/>
      <c r="Z15"/>
      <c r="AA15"/>
      <c r="AB15"/>
      <c r="AC15"/>
      <c r="AD15"/>
      <c r="AE15"/>
      <c r="AF15"/>
      <c r="AG15"/>
      <c r="AH15"/>
      <c r="AI15"/>
      <c r="AJ15"/>
      <c r="AK15"/>
      <c r="AL15"/>
      <c r="AM15"/>
      <c r="AN15"/>
      <c r="AO15"/>
      <c r="AP15"/>
      <c r="AQ15"/>
      <c r="AR15"/>
      <c r="AS15"/>
    </row>
    <row r="16" spans="1:45" s="444" customFormat="1" ht="52.5">
      <c r="A16" s="460" t="s">
        <v>37</v>
      </c>
      <c r="B16" s="439" t="s">
        <v>840</v>
      </c>
      <c r="C16" s="439" t="s">
        <v>770</v>
      </c>
      <c r="D16" s="439" t="s">
        <v>815</v>
      </c>
      <c r="E16" s="439" t="s">
        <v>816</v>
      </c>
      <c r="F16" s="439" t="s">
        <v>1370</v>
      </c>
      <c r="G16" s="432" t="s">
        <v>1362</v>
      </c>
      <c r="H16" s="432" t="s">
        <v>1367</v>
      </c>
      <c r="I16" s="435">
        <v>3807.8344371109897</v>
      </c>
      <c r="J16" s="432" t="s">
        <v>1362</v>
      </c>
      <c r="K16" s="435">
        <v>326.77025045776361</v>
      </c>
      <c r="L16" s="439"/>
      <c r="M16" s="439" t="s">
        <v>810</v>
      </c>
      <c r="N16" s="439" t="s">
        <v>811</v>
      </c>
      <c r="O16" s="439" t="s">
        <v>807</v>
      </c>
      <c r="P16" s="435">
        <v>1894.5081</v>
      </c>
      <c r="Q16" s="435">
        <v>1579.6841400000001</v>
      </c>
      <c r="R16" s="435">
        <v>829.69155000000001</v>
      </c>
      <c r="S16" s="445" t="s">
        <v>786</v>
      </c>
      <c r="T16" s="435">
        <v>182.5</v>
      </c>
      <c r="U16" s="435">
        <v>316.5</v>
      </c>
      <c r="V16" s="435">
        <v>258.26529776643918</v>
      </c>
      <c r="W16" s="439" t="s">
        <v>817</v>
      </c>
      <c r="X16"/>
      <c r="Y16"/>
      <c r="Z16"/>
      <c r="AA16"/>
      <c r="AB16"/>
      <c r="AC16"/>
      <c r="AD16"/>
      <c r="AE16"/>
      <c r="AF16"/>
      <c r="AG16"/>
      <c r="AH16"/>
      <c r="AI16"/>
      <c r="AJ16"/>
      <c r="AK16"/>
      <c r="AL16"/>
      <c r="AM16"/>
      <c r="AN16"/>
      <c r="AO16"/>
      <c r="AP16"/>
      <c r="AQ16"/>
      <c r="AR16"/>
      <c r="AS16"/>
    </row>
    <row r="17" spans="1:45" s="444" customFormat="1" ht="52.5">
      <c r="A17" s="461" t="s">
        <v>37</v>
      </c>
      <c r="B17" s="439" t="s">
        <v>841</v>
      </c>
      <c r="C17" s="439" t="s">
        <v>770</v>
      </c>
      <c r="D17" s="439" t="s">
        <v>812</v>
      </c>
      <c r="E17" s="439" t="s">
        <v>813</v>
      </c>
      <c r="F17" s="439" t="s">
        <v>1370</v>
      </c>
      <c r="G17" s="432" t="s">
        <v>941</v>
      </c>
      <c r="H17" s="432" t="s">
        <v>941</v>
      </c>
      <c r="I17" s="435">
        <v>2040.5376114397454</v>
      </c>
      <c r="J17" s="432" t="s">
        <v>1367</v>
      </c>
      <c r="K17" s="435">
        <v>159.44952728701381</v>
      </c>
      <c r="L17" s="439"/>
      <c r="M17" s="439" t="s">
        <v>810</v>
      </c>
      <c r="N17" s="439" t="s">
        <v>811</v>
      </c>
      <c r="O17" s="439" t="s">
        <v>807</v>
      </c>
      <c r="P17" s="435"/>
      <c r="Q17" s="435"/>
      <c r="R17" s="435">
        <v>4250</v>
      </c>
      <c r="S17" s="445" t="s">
        <v>786</v>
      </c>
      <c r="T17" s="435">
        <v>0</v>
      </c>
      <c r="U17" s="435">
        <v>0</v>
      </c>
      <c r="V17" s="435">
        <v>0</v>
      </c>
      <c r="W17" s="439" t="s">
        <v>818</v>
      </c>
      <c r="X17"/>
      <c r="Y17"/>
      <c r="Z17"/>
      <c r="AA17"/>
      <c r="AB17"/>
      <c r="AC17"/>
      <c r="AD17"/>
      <c r="AE17"/>
      <c r="AF17"/>
      <c r="AG17"/>
      <c r="AH17"/>
      <c r="AI17"/>
      <c r="AJ17"/>
      <c r="AK17"/>
      <c r="AL17"/>
      <c r="AM17"/>
      <c r="AN17"/>
      <c r="AO17"/>
      <c r="AP17"/>
      <c r="AQ17"/>
      <c r="AR17"/>
      <c r="AS17"/>
    </row>
    <row r="18" spans="1:45" s="444" customFormat="1" ht="91.9">
      <c r="A18" s="460" t="s">
        <v>37</v>
      </c>
      <c r="B18" s="439" t="s">
        <v>842</v>
      </c>
      <c r="C18" s="439" t="s">
        <v>770</v>
      </c>
      <c r="D18" s="439" t="s">
        <v>819</v>
      </c>
      <c r="E18" s="439"/>
      <c r="F18" s="439" t="s">
        <v>774</v>
      </c>
      <c r="G18" s="432" t="s">
        <v>807</v>
      </c>
      <c r="H18" s="432" t="s">
        <v>807</v>
      </c>
      <c r="I18" s="435">
        <v>68429.95</v>
      </c>
      <c r="J18" s="432" t="s">
        <v>1362</v>
      </c>
      <c r="K18" s="435">
        <v>2202</v>
      </c>
      <c r="L18" s="439"/>
      <c r="M18" s="439" t="s">
        <v>820</v>
      </c>
      <c r="N18" s="439" t="s">
        <v>821</v>
      </c>
      <c r="O18" s="439" t="s">
        <v>807</v>
      </c>
      <c r="P18" s="435">
        <v>0</v>
      </c>
      <c r="Q18" s="435">
        <v>0</v>
      </c>
      <c r="R18" s="435">
        <v>0</v>
      </c>
      <c r="S18" s="445" t="s">
        <v>786</v>
      </c>
      <c r="T18" s="435">
        <v>838.66377607469678</v>
      </c>
      <c r="U18" s="435">
        <v>1095.9586020914103</v>
      </c>
      <c r="V18" s="435">
        <v>759.43333767931142</v>
      </c>
      <c r="W18" s="439" t="s">
        <v>822</v>
      </c>
      <c r="X18"/>
      <c r="Y18"/>
      <c r="Z18"/>
      <c r="AA18"/>
      <c r="AB18"/>
      <c r="AC18"/>
      <c r="AD18"/>
      <c r="AE18"/>
      <c r="AF18"/>
      <c r="AG18"/>
      <c r="AH18"/>
      <c r="AI18"/>
      <c r="AJ18"/>
      <c r="AK18"/>
      <c r="AL18"/>
      <c r="AM18"/>
      <c r="AN18"/>
      <c r="AO18"/>
      <c r="AP18"/>
      <c r="AQ18"/>
      <c r="AR18"/>
      <c r="AS18"/>
    </row>
    <row r="19" spans="1:45" s="444" customFormat="1" ht="39.4">
      <c r="A19" s="461" t="s">
        <v>37</v>
      </c>
      <c r="B19" s="439" t="s">
        <v>843</v>
      </c>
      <c r="C19" s="439" t="s">
        <v>823</v>
      </c>
      <c r="D19" s="439" t="s">
        <v>824</v>
      </c>
      <c r="E19" s="439" t="s">
        <v>825</v>
      </c>
      <c r="F19" s="439" t="s">
        <v>1370</v>
      </c>
      <c r="G19" s="432" t="s">
        <v>826</v>
      </c>
      <c r="H19" s="432" t="s">
        <v>941</v>
      </c>
      <c r="I19" s="435" t="s">
        <v>827</v>
      </c>
      <c r="J19" s="432" t="s">
        <v>827</v>
      </c>
      <c r="K19" s="435" t="s">
        <v>827</v>
      </c>
      <c r="L19" s="439" t="s">
        <v>828</v>
      </c>
      <c r="M19" s="439" t="s">
        <v>829</v>
      </c>
      <c r="N19" s="439" t="s">
        <v>830</v>
      </c>
      <c r="O19" s="439" t="s">
        <v>830</v>
      </c>
      <c r="P19" s="435">
        <v>500</v>
      </c>
      <c r="Q19" s="435">
        <v>500</v>
      </c>
      <c r="R19" s="435">
        <v>500</v>
      </c>
      <c r="S19" s="445" t="s">
        <v>786</v>
      </c>
      <c r="T19" s="435" t="s">
        <v>807</v>
      </c>
      <c r="U19" s="435" t="s">
        <v>807</v>
      </c>
      <c r="V19" s="435" t="s">
        <v>807</v>
      </c>
      <c r="W19" s="439" t="s">
        <v>831</v>
      </c>
      <c r="X19"/>
      <c r="Y19"/>
      <c r="Z19"/>
      <c r="AA19"/>
      <c r="AB19"/>
      <c r="AC19"/>
      <c r="AD19"/>
      <c r="AE19"/>
      <c r="AF19"/>
      <c r="AG19"/>
      <c r="AH19"/>
      <c r="AI19"/>
      <c r="AJ19"/>
      <c r="AK19"/>
      <c r="AL19"/>
      <c r="AM19"/>
      <c r="AN19"/>
      <c r="AO19"/>
      <c r="AP19"/>
      <c r="AQ19"/>
      <c r="AR19"/>
      <c r="AS19"/>
    </row>
    <row r="20" spans="1:45" s="444" customFormat="1" ht="39.4">
      <c r="A20" s="460" t="s">
        <v>37</v>
      </c>
      <c r="B20" s="439" t="s">
        <v>844</v>
      </c>
      <c r="C20" s="439" t="s">
        <v>832</v>
      </c>
      <c r="D20" s="439" t="s">
        <v>833</v>
      </c>
      <c r="E20" s="439" t="s">
        <v>834</v>
      </c>
      <c r="F20" s="439" t="s">
        <v>1370</v>
      </c>
      <c r="G20" s="465" t="s">
        <v>3</v>
      </c>
      <c r="H20" s="432" t="s">
        <v>941</v>
      </c>
      <c r="I20" s="435" t="s">
        <v>827</v>
      </c>
      <c r="J20" s="432" t="s">
        <v>827</v>
      </c>
      <c r="K20" s="435" t="s">
        <v>827</v>
      </c>
      <c r="L20" s="439" t="s">
        <v>835</v>
      </c>
      <c r="M20" s="439" t="s">
        <v>836</v>
      </c>
      <c r="N20" s="439" t="s">
        <v>830</v>
      </c>
      <c r="O20" s="439" t="s">
        <v>830</v>
      </c>
      <c r="P20" s="435">
        <v>1000</v>
      </c>
      <c r="Q20" s="435">
        <v>2000</v>
      </c>
      <c r="R20" s="435">
        <v>2000</v>
      </c>
      <c r="S20" s="445" t="s">
        <v>786</v>
      </c>
      <c r="T20" s="435" t="s">
        <v>807</v>
      </c>
      <c r="U20" s="435" t="s">
        <v>807</v>
      </c>
      <c r="V20" s="435" t="s">
        <v>807</v>
      </c>
      <c r="W20" s="439" t="s">
        <v>837</v>
      </c>
      <c r="X20"/>
      <c r="Y20"/>
      <c r="Z20"/>
      <c r="AA20"/>
      <c r="AB20"/>
      <c r="AC20"/>
      <c r="AD20"/>
      <c r="AE20"/>
      <c r="AF20"/>
      <c r="AG20"/>
      <c r="AH20"/>
      <c r="AI20"/>
      <c r="AJ20"/>
      <c r="AK20"/>
      <c r="AL20"/>
      <c r="AM20"/>
      <c r="AN20"/>
      <c r="AO20"/>
      <c r="AP20"/>
      <c r="AQ20"/>
      <c r="AR20"/>
      <c r="AS20"/>
    </row>
    <row r="21" spans="1:45" s="444" customFormat="1">
      <c r="A21" s="462"/>
      <c r="B21" s="442"/>
      <c r="C21" s="439"/>
      <c r="D21" s="442" t="s">
        <v>389</v>
      </c>
      <c r="E21" s="439"/>
      <c r="F21" s="439"/>
      <c r="G21" s="432"/>
      <c r="H21" s="432"/>
      <c r="I21" s="435"/>
      <c r="J21" s="432"/>
      <c r="K21" s="435"/>
      <c r="L21" s="439"/>
      <c r="M21" s="442" t="s">
        <v>389</v>
      </c>
      <c r="N21" s="439"/>
      <c r="O21" s="439"/>
      <c r="P21" s="443"/>
      <c r="Q21" s="443"/>
      <c r="R21" s="443"/>
      <c r="S21" s="432"/>
      <c r="T21" s="435"/>
      <c r="U21" s="435"/>
      <c r="V21" s="435"/>
      <c r="W21" s="439"/>
      <c r="X21"/>
      <c r="Y21"/>
      <c r="Z21"/>
      <c r="AA21"/>
      <c r="AB21"/>
      <c r="AC21"/>
      <c r="AD21"/>
      <c r="AE21"/>
      <c r="AF21"/>
      <c r="AG21"/>
      <c r="AH21"/>
      <c r="AI21"/>
      <c r="AJ21"/>
      <c r="AK21"/>
      <c r="AL21"/>
      <c r="AM21"/>
      <c r="AN21"/>
      <c r="AO21"/>
      <c r="AP21"/>
      <c r="AQ21"/>
      <c r="AR21"/>
      <c r="AS21"/>
    </row>
    <row r="22" spans="1:45" s="444" customFormat="1">
      <c r="A22" s="460" t="s">
        <v>234</v>
      </c>
      <c r="B22" s="439" t="s">
        <v>845</v>
      </c>
      <c r="C22" s="439" t="s">
        <v>770</v>
      </c>
      <c r="D22" s="439" t="s">
        <v>771</v>
      </c>
      <c r="E22" s="439" t="s">
        <v>772</v>
      </c>
      <c r="F22" s="439" t="s">
        <v>240</v>
      </c>
      <c r="G22" s="432" t="s">
        <v>1362</v>
      </c>
      <c r="H22" s="432" t="s">
        <v>947</v>
      </c>
      <c r="I22" s="435">
        <v>1284</v>
      </c>
      <c r="J22" s="432" t="s">
        <v>947</v>
      </c>
      <c r="K22" s="435">
        <v>107</v>
      </c>
      <c r="L22" s="439"/>
      <c r="M22" s="439" t="s">
        <v>773</v>
      </c>
      <c r="N22" s="439" t="s">
        <v>774</v>
      </c>
      <c r="O22" s="439" t="s">
        <v>775</v>
      </c>
      <c r="P22" s="435">
        <v>160</v>
      </c>
      <c r="Q22" s="435" t="s">
        <v>1375</v>
      </c>
      <c r="R22" s="435" t="s">
        <v>1375</v>
      </c>
      <c r="S22" s="445" t="s">
        <v>776</v>
      </c>
      <c r="T22" s="435" t="s">
        <v>1375</v>
      </c>
      <c r="U22" s="435" t="s">
        <v>1375</v>
      </c>
      <c r="V22" s="435" t="s">
        <v>1375</v>
      </c>
      <c r="W22" s="439" t="s">
        <v>1376</v>
      </c>
      <c r="X22"/>
      <c r="Y22"/>
      <c r="Z22"/>
      <c r="AA22"/>
      <c r="AB22"/>
      <c r="AC22"/>
      <c r="AD22"/>
      <c r="AE22"/>
      <c r="AF22"/>
      <c r="AG22"/>
      <c r="AH22"/>
      <c r="AI22"/>
      <c r="AJ22"/>
      <c r="AK22"/>
      <c r="AL22"/>
      <c r="AM22"/>
      <c r="AN22"/>
      <c r="AO22"/>
      <c r="AP22"/>
      <c r="AQ22"/>
      <c r="AR22"/>
      <c r="AS22"/>
    </row>
    <row r="23" spans="1:45" s="444" customFormat="1">
      <c r="A23" s="461" t="s">
        <v>234</v>
      </c>
      <c r="B23" s="439" t="s">
        <v>846</v>
      </c>
      <c r="C23" s="439" t="s">
        <v>770</v>
      </c>
      <c r="D23" s="439" t="s">
        <v>777</v>
      </c>
      <c r="E23" s="439" t="s">
        <v>778</v>
      </c>
      <c r="F23" s="439" t="s">
        <v>779</v>
      </c>
      <c r="G23" s="432" t="s">
        <v>947</v>
      </c>
      <c r="H23" s="432" t="s">
        <v>1364</v>
      </c>
      <c r="I23" s="435">
        <v>360</v>
      </c>
      <c r="J23" s="432" t="s">
        <v>1363</v>
      </c>
      <c r="K23" s="435">
        <v>30</v>
      </c>
      <c r="L23" s="439"/>
      <c r="M23" s="439" t="s">
        <v>773</v>
      </c>
      <c r="N23" s="439" t="s">
        <v>774</v>
      </c>
      <c r="O23" s="439"/>
      <c r="P23" s="435">
        <v>1000</v>
      </c>
      <c r="Q23" s="435" t="s">
        <v>1375</v>
      </c>
      <c r="R23" s="435" t="s">
        <v>1375</v>
      </c>
      <c r="S23" s="445" t="s">
        <v>776</v>
      </c>
      <c r="T23" s="435" t="s">
        <v>1375</v>
      </c>
      <c r="U23" s="435" t="s">
        <v>1375</v>
      </c>
      <c r="V23" s="435" t="s">
        <v>1375</v>
      </c>
      <c r="W23" s="439" t="s">
        <v>773</v>
      </c>
      <c r="X23"/>
      <c r="Y23"/>
      <c r="Z23"/>
      <c r="AA23"/>
      <c r="AB23"/>
      <c r="AC23"/>
      <c r="AD23"/>
      <c r="AE23"/>
      <c r="AF23"/>
      <c r="AG23"/>
      <c r="AH23"/>
      <c r="AI23"/>
      <c r="AJ23"/>
      <c r="AK23"/>
      <c r="AL23"/>
      <c r="AM23"/>
      <c r="AN23"/>
      <c r="AO23"/>
      <c r="AP23"/>
      <c r="AQ23"/>
      <c r="AR23"/>
      <c r="AS23"/>
    </row>
    <row r="24" spans="1:45" s="444" customFormat="1">
      <c r="A24" s="460" t="s">
        <v>234</v>
      </c>
      <c r="B24" s="439" t="s">
        <v>847</v>
      </c>
      <c r="C24" s="439" t="s">
        <v>770</v>
      </c>
      <c r="D24" s="439" t="s">
        <v>780</v>
      </c>
      <c r="E24" s="439" t="s">
        <v>781</v>
      </c>
      <c r="F24" s="439" t="s">
        <v>240</v>
      </c>
      <c r="G24" s="432" t="s">
        <v>947</v>
      </c>
      <c r="H24" s="432" t="s">
        <v>947</v>
      </c>
      <c r="I24" s="435">
        <v>132</v>
      </c>
      <c r="J24" s="432" t="s">
        <v>947</v>
      </c>
      <c r="K24" s="435">
        <v>11</v>
      </c>
      <c r="L24" s="439"/>
      <c r="M24" s="439" t="s">
        <v>773</v>
      </c>
      <c r="N24" s="439" t="s">
        <v>774</v>
      </c>
      <c r="O24" s="439"/>
      <c r="P24" s="435">
        <v>300</v>
      </c>
      <c r="Q24" s="435" t="s">
        <v>1375</v>
      </c>
      <c r="R24" s="435" t="s">
        <v>1375</v>
      </c>
      <c r="S24" s="445" t="s">
        <v>776</v>
      </c>
      <c r="T24" s="435" t="s">
        <v>1375</v>
      </c>
      <c r="U24" s="435" t="s">
        <v>1375</v>
      </c>
      <c r="V24" s="435" t="s">
        <v>1375</v>
      </c>
      <c r="W24" s="439" t="s">
        <v>782</v>
      </c>
      <c r="X24"/>
      <c r="Y24"/>
      <c r="Z24"/>
      <c r="AA24"/>
      <c r="AB24"/>
      <c r="AC24"/>
      <c r="AD24"/>
      <c r="AE24"/>
      <c r="AF24"/>
      <c r="AG24"/>
      <c r="AH24"/>
      <c r="AI24"/>
      <c r="AJ24"/>
      <c r="AK24"/>
      <c r="AL24"/>
      <c r="AM24"/>
      <c r="AN24"/>
      <c r="AO24"/>
      <c r="AP24"/>
      <c r="AQ24"/>
      <c r="AR24"/>
      <c r="AS24"/>
    </row>
    <row r="25" spans="1:45" s="444" customFormat="1">
      <c r="A25" s="461" t="s">
        <v>234</v>
      </c>
      <c r="B25" s="439" t="s">
        <v>848</v>
      </c>
      <c r="C25" s="439" t="s">
        <v>770</v>
      </c>
      <c r="D25" s="439" t="s">
        <v>783</v>
      </c>
      <c r="E25" s="439" t="s">
        <v>784</v>
      </c>
      <c r="F25" s="439" t="s">
        <v>785</v>
      </c>
      <c r="G25" s="432" t="s">
        <v>947</v>
      </c>
      <c r="H25" s="432" t="s">
        <v>947</v>
      </c>
      <c r="I25" s="464">
        <v>1500</v>
      </c>
      <c r="J25" s="432" t="s">
        <v>947</v>
      </c>
      <c r="K25" s="435">
        <v>360</v>
      </c>
      <c r="L25" s="439"/>
      <c r="M25" s="439" t="s">
        <v>773</v>
      </c>
      <c r="N25" s="439" t="s">
        <v>774</v>
      </c>
      <c r="O25" s="439"/>
      <c r="P25" s="435">
        <v>4415</v>
      </c>
      <c r="Q25" s="435" t="s">
        <v>807</v>
      </c>
      <c r="R25" s="435"/>
      <c r="S25" s="445" t="s">
        <v>786</v>
      </c>
      <c r="T25" s="435" t="s">
        <v>774</v>
      </c>
      <c r="U25" s="435">
        <v>247</v>
      </c>
      <c r="V25" s="435">
        <v>247</v>
      </c>
      <c r="W25" s="439"/>
      <c r="X25"/>
      <c r="Y25"/>
      <c r="Z25"/>
      <c r="AA25"/>
      <c r="AB25"/>
      <c r="AC25"/>
      <c r="AD25"/>
      <c r="AE25"/>
      <c r="AF25"/>
      <c r="AG25"/>
      <c r="AH25"/>
      <c r="AI25"/>
      <c r="AJ25"/>
      <c r="AK25"/>
      <c r="AL25"/>
      <c r="AM25"/>
      <c r="AN25"/>
      <c r="AO25"/>
      <c r="AP25"/>
      <c r="AQ25"/>
      <c r="AR25"/>
      <c r="AS25"/>
    </row>
    <row r="26" spans="1:45" s="444" customFormat="1" ht="26.25">
      <c r="A26" s="460" t="s">
        <v>234</v>
      </c>
      <c r="B26" s="439" t="s">
        <v>849</v>
      </c>
      <c r="C26" s="439" t="s">
        <v>770</v>
      </c>
      <c r="D26" s="439" t="s">
        <v>787</v>
      </c>
      <c r="E26" s="439" t="s">
        <v>788</v>
      </c>
      <c r="F26" s="439" t="s">
        <v>789</v>
      </c>
      <c r="G26" s="432" t="s">
        <v>947</v>
      </c>
      <c r="H26" s="432" t="s">
        <v>1363</v>
      </c>
      <c r="I26" s="466">
        <v>122</v>
      </c>
      <c r="J26" s="432" t="s">
        <v>947</v>
      </c>
      <c r="K26" s="435">
        <v>14.7</v>
      </c>
      <c r="L26" s="439"/>
      <c r="M26" s="439" t="s">
        <v>773</v>
      </c>
      <c r="N26" s="439" t="s">
        <v>774</v>
      </c>
      <c r="O26" s="439"/>
      <c r="P26" s="435">
        <v>1200</v>
      </c>
      <c r="Q26" s="435"/>
      <c r="R26" s="435"/>
      <c r="S26" s="445" t="s">
        <v>786</v>
      </c>
      <c r="T26" s="435" t="s">
        <v>774</v>
      </c>
      <c r="U26" s="435" t="s">
        <v>774</v>
      </c>
      <c r="V26" s="435" t="s">
        <v>774</v>
      </c>
      <c r="W26" s="439"/>
      <c r="X26"/>
      <c r="Y26"/>
      <c r="Z26"/>
      <c r="AA26"/>
      <c r="AB26"/>
      <c r="AC26"/>
      <c r="AD26"/>
      <c r="AE26"/>
      <c r="AF26"/>
      <c r="AG26"/>
      <c r="AH26"/>
      <c r="AI26"/>
      <c r="AJ26"/>
      <c r="AK26"/>
      <c r="AL26"/>
      <c r="AM26"/>
      <c r="AN26"/>
      <c r="AO26"/>
      <c r="AP26"/>
      <c r="AQ26"/>
      <c r="AR26"/>
      <c r="AS26"/>
    </row>
    <row r="27" spans="1:45" s="444" customFormat="1">
      <c r="A27" s="461" t="s">
        <v>234</v>
      </c>
      <c r="B27" s="439" t="s">
        <v>850</v>
      </c>
      <c r="C27" s="439" t="s">
        <v>770</v>
      </c>
      <c r="D27" s="439" t="s">
        <v>787</v>
      </c>
      <c r="E27" s="439" t="s">
        <v>788</v>
      </c>
      <c r="F27" s="439" t="s">
        <v>790</v>
      </c>
      <c r="G27" s="432" t="s">
        <v>1363</v>
      </c>
      <c r="H27" s="432" t="s">
        <v>941</v>
      </c>
      <c r="I27" s="466">
        <v>146</v>
      </c>
      <c r="J27" s="432" t="s">
        <v>1363</v>
      </c>
      <c r="K27" s="435">
        <v>18.2</v>
      </c>
      <c r="L27" s="439"/>
      <c r="M27" s="439" t="s">
        <v>791</v>
      </c>
      <c r="N27" s="439" t="s">
        <v>774</v>
      </c>
      <c r="O27" s="439" t="s">
        <v>792</v>
      </c>
      <c r="P27" s="435"/>
      <c r="Q27" s="435">
        <v>2600</v>
      </c>
      <c r="R27" s="435" t="s">
        <v>807</v>
      </c>
      <c r="S27" s="445" t="s">
        <v>786</v>
      </c>
      <c r="T27" s="435" t="s">
        <v>774</v>
      </c>
      <c r="U27" s="435" t="s">
        <v>774</v>
      </c>
      <c r="V27" s="435" t="s">
        <v>774</v>
      </c>
      <c r="W27" s="439"/>
      <c r="X27"/>
      <c r="Y27"/>
      <c r="Z27"/>
      <c r="AA27"/>
      <c r="AB27"/>
      <c r="AC27"/>
      <c r="AD27"/>
      <c r="AE27"/>
      <c r="AF27"/>
      <c r="AG27"/>
      <c r="AH27"/>
      <c r="AI27"/>
      <c r="AJ27"/>
      <c r="AK27"/>
      <c r="AL27"/>
      <c r="AM27"/>
      <c r="AN27"/>
      <c r="AO27"/>
      <c r="AP27"/>
      <c r="AQ27"/>
      <c r="AR27"/>
      <c r="AS27"/>
    </row>
    <row r="28" spans="1:45" s="444" customFormat="1">
      <c r="A28" s="460" t="s">
        <v>234</v>
      </c>
      <c r="B28" s="439" t="s">
        <v>851</v>
      </c>
      <c r="C28" s="439" t="s">
        <v>770</v>
      </c>
      <c r="D28" s="439" t="s">
        <v>783</v>
      </c>
      <c r="E28" s="439" t="s">
        <v>784</v>
      </c>
      <c r="F28" s="439" t="s">
        <v>793</v>
      </c>
      <c r="G28" s="432" t="s">
        <v>1363</v>
      </c>
      <c r="H28" s="432" t="s">
        <v>941</v>
      </c>
      <c r="I28" s="463">
        <v>325</v>
      </c>
      <c r="J28" s="432" t="s">
        <v>941</v>
      </c>
      <c r="K28" s="435">
        <v>27</v>
      </c>
      <c r="L28" s="439"/>
      <c r="M28" s="439" t="s">
        <v>773</v>
      </c>
      <c r="N28" s="439" t="s">
        <v>774</v>
      </c>
      <c r="O28" s="439"/>
      <c r="P28" s="435">
        <v>1177</v>
      </c>
      <c r="Q28" s="435" t="s">
        <v>1375</v>
      </c>
      <c r="R28" s="435"/>
      <c r="S28" s="445" t="s">
        <v>776</v>
      </c>
      <c r="T28" s="435" t="s">
        <v>774</v>
      </c>
      <c r="U28" s="435" t="s">
        <v>774</v>
      </c>
      <c r="V28" s="435" t="s">
        <v>774</v>
      </c>
      <c r="W28" s="439"/>
      <c r="X28"/>
      <c r="Y28"/>
      <c r="Z28"/>
      <c r="AA28"/>
      <c r="AB28"/>
      <c r="AC28"/>
      <c r="AD28"/>
      <c r="AE28"/>
      <c r="AF28"/>
      <c r="AG28"/>
      <c r="AH28"/>
      <c r="AI28"/>
      <c r="AJ28"/>
      <c r="AK28"/>
      <c r="AL28"/>
      <c r="AM28"/>
      <c r="AN28"/>
      <c r="AO28"/>
      <c r="AP28"/>
      <c r="AQ28"/>
      <c r="AR28"/>
      <c r="AS28"/>
    </row>
    <row r="29" spans="1:45" s="444" customFormat="1">
      <c r="A29" s="461" t="s">
        <v>234</v>
      </c>
      <c r="B29" s="439" t="s">
        <v>852</v>
      </c>
      <c r="C29" s="439" t="s">
        <v>770</v>
      </c>
      <c r="D29" s="439" t="s">
        <v>794</v>
      </c>
      <c r="E29" s="439" t="s">
        <v>795</v>
      </c>
      <c r="F29" s="439" t="s">
        <v>796</v>
      </c>
      <c r="G29" s="432" t="s">
        <v>947</v>
      </c>
      <c r="H29" s="432" t="s">
        <v>1363</v>
      </c>
      <c r="I29" s="464">
        <v>1170</v>
      </c>
      <c r="J29" s="432" t="s">
        <v>1363</v>
      </c>
      <c r="K29" s="435">
        <v>390</v>
      </c>
      <c r="L29" s="439"/>
      <c r="M29" s="439" t="s">
        <v>773</v>
      </c>
      <c r="N29" s="439" t="s">
        <v>774</v>
      </c>
      <c r="O29" s="439"/>
      <c r="P29" s="435">
        <v>916</v>
      </c>
      <c r="Q29" s="435">
        <v>916</v>
      </c>
      <c r="R29" s="435" t="s">
        <v>807</v>
      </c>
      <c r="S29" s="445" t="s">
        <v>786</v>
      </c>
      <c r="T29" s="435" t="s">
        <v>774</v>
      </c>
      <c r="U29" s="435" t="s">
        <v>774</v>
      </c>
      <c r="V29" s="435" t="s">
        <v>774</v>
      </c>
      <c r="W29" s="439" t="s">
        <v>797</v>
      </c>
      <c r="X29"/>
      <c r="Y29"/>
      <c r="Z29"/>
      <c r="AA29"/>
      <c r="AB29"/>
      <c r="AC29"/>
      <c r="AD29"/>
      <c r="AE29"/>
      <c r="AF29"/>
      <c r="AG29"/>
      <c r="AH29"/>
      <c r="AI29"/>
      <c r="AJ29"/>
      <c r="AK29"/>
      <c r="AL29"/>
      <c r="AM29"/>
      <c r="AN29"/>
      <c r="AO29"/>
      <c r="AP29"/>
      <c r="AQ29"/>
      <c r="AR29"/>
      <c r="AS29"/>
    </row>
    <row r="30" spans="1:45" s="444" customFormat="1" ht="26.25">
      <c r="A30" s="460" t="s">
        <v>234</v>
      </c>
      <c r="B30" s="439" t="s">
        <v>853</v>
      </c>
      <c r="C30" s="439" t="s">
        <v>390</v>
      </c>
      <c r="D30" s="439" t="s">
        <v>798</v>
      </c>
      <c r="E30" s="439" t="s">
        <v>799</v>
      </c>
      <c r="F30" s="439" t="s">
        <v>240</v>
      </c>
      <c r="G30" s="432" t="s">
        <v>1362</v>
      </c>
      <c r="H30" s="432" t="s">
        <v>947</v>
      </c>
      <c r="I30" s="464">
        <v>1185</v>
      </c>
      <c r="J30" s="432" t="s">
        <v>947</v>
      </c>
      <c r="K30" s="435">
        <v>237</v>
      </c>
      <c r="L30" s="439"/>
      <c r="M30" s="439" t="s">
        <v>773</v>
      </c>
      <c r="N30" s="439" t="s">
        <v>774</v>
      </c>
      <c r="O30" s="439" t="s">
        <v>800</v>
      </c>
      <c r="P30" s="435">
        <v>1500</v>
      </c>
      <c r="Q30" s="435" t="s">
        <v>807</v>
      </c>
      <c r="R30" s="435" t="s">
        <v>807</v>
      </c>
      <c r="S30" s="445" t="s">
        <v>801</v>
      </c>
      <c r="T30" s="435" t="s">
        <v>807</v>
      </c>
      <c r="U30" s="435" t="s">
        <v>807</v>
      </c>
      <c r="V30" s="435" t="s">
        <v>807</v>
      </c>
      <c r="W30" s="439" t="s">
        <v>773</v>
      </c>
      <c r="X30"/>
      <c r="Y30"/>
      <c r="Z30"/>
      <c r="AA30"/>
      <c r="AB30"/>
      <c r="AC30"/>
      <c r="AD30"/>
      <c r="AE30"/>
      <c r="AF30"/>
      <c r="AG30"/>
      <c r="AH30"/>
      <c r="AI30"/>
      <c r="AJ30"/>
      <c r="AK30"/>
      <c r="AL30"/>
      <c r="AM30"/>
      <c r="AN30"/>
      <c r="AO30"/>
      <c r="AP30"/>
      <c r="AQ30"/>
      <c r="AR30"/>
      <c r="AS30"/>
    </row>
    <row r="31" spans="1:45" s="444" customFormat="1" ht="26.25">
      <c r="A31" s="461" t="s">
        <v>234</v>
      </c>
      <c r="B31" s="439" t="s">
        <v>854</v>
      </c>
      <c r="C31" s="439" t="s">
        <v>390</v>
      </c>
      <c r="D31" s="439" t="s">
        <v>798</v>
      </c>
      <c r="E31" s="439" t="s">
        <v>802</v>
      </c>
      <c r="F31" s="439" t="s">
        <v>240</v>
      </c>
      <c r="G31" s="432" t="s">
        <v>947</v>
      </c>
      <c r="H31" s="432" t="s">
        <v>1363</v>
      </c>
      <c r="I31" s="463">
        <v>45</v>
      </c>
      <c r="J31" s="432" t="s">
        <v>947</v>
      </c>
      <c r="K31" s="435">
        <v>9</v>
      </c>
      <c r="L31" s="439"/>
      <c r="M31" s="439" t="s">
        <v>773</v>
      </c>
      <c r="N31" s="439" t="s">
        <v>774</v>
      </c>
      <c r="O31" s="439"/>
      <c r="P31" s="435">
        <v>70</v>
      </c>
      <c r="Q31" s="435" t="s">
        <v>807</v>
      </c>
      <c r="R31" s="435" t="s">
        <v>807</v>
      </c>
      <c r="S31" s="445" t="s">
        <v>801</v>
      </c>
      <c r="T31" s="435" t="s">
        <v>807</v>
      </c>
      <c r="U31" s="435" t="s">
        <v>807</v>
      </c>
      <c r="V31" s="435" t="s">
        <v>807</v>
      </c>
      <c r="W31" s="439" t="s">
        <v>773</v>
      </c>
      <c r="X31"/>
      <c r="Y31"/>
      <c r="Z31"/>
      <c r="AA31"/>
      <c r="AB31"/>
      <c r="AC31"/>
      <c r="AD31"/>
      <c r="AE31"/>
      <c r="AF31"/>
      <c r="AG31"/>
      <c r="AH31"/>
      <c r="AI31"/>
      <c r="AJ31"/>
      <c r="AK31"/>
      <c r="AL31"/>
      <c r="AM31"/>
      <c r="AN31"/>
      <c r="AO31"/>
      <c r="AP31"/>
      <c r="AQ31"/>
      <c r="AR31"/>
      <c r="AS31"/>
    </row>
    <row r="32" spans="1:45" s="444" customFormat="1" ht="26.25">
      <c r="A32" s="460" t="s">
        <v>234</v>
      </c>
      <c r="B32" s="439" t="s">
        <v>855</v>
      </c>
      <c r="C32" s="439" t="s">
        <v>803</v>
      </c>
      <c r="D32" s="439" t="s">
        <v>804</v>
      </c>
      <c r="E32" s="439" t="s">
        <v>805</v>
      </c>
      <c r="F32" s="439" t="s">
        <v>806</v>
      </c>
      <c r="G32" s="432" t="s">
        <v>807</v>
      </c>
      <c r="H32" s="432" t="s">
        <v>807</v>
      </c>
      <c r="I32" s="435" t="s">
        <v>807</v>
      </c>
      <c r="J32" s="432" t="s">
        <v>947</v>
      </c>
      <c r="K32" s="435" t="s">
        <v>942</v>
      </c>
      <c r="L32" s="439" t="s">
        <v>1368</v>
      </c>
      <c r="M32" s="439" t="s">
        <v>773</v>
      </c>
      <c r="N32" s="439" t="s">
        <v>774</v>
      </c>
      <c r="O32" s="439" t="s">
        <v>774</v>
      </c>
      <c r="P32" s="435" t="s">
        <v>807</v>
      </c>
      <c r="Q32" s="435" t="s">
        <v>807</v>
      </c>
      <c r="R32" s="435" t="s">
        <v>807</v>
      </c>
      <c r="S32" s="445" t="s">
        <v>801</v>
      </c>
      <c r="T32" s="435" t="s">
        <v>807</v>
      </c>
      <c r="U32" s="435" t="s">
        <v>807</v>
      </c>
      <c r="V32" s="435" t="s">
        <v>807</v>
      </c>
      <c r="W32" s="439" t="s">
        <v>808</v>
      </c>
      <c r="X32"/>
      <c r="Y32"/>
      <c r="Z32"/>
      <c r="AA32"/>
      <c r="AB32"/>
      <c r="AC32"/>
      <c r="AD32"/>
      <c r="AE32"/>
      <c r="AF32"/>
      <c r="AG32"/>
      <c r="AH32"/>
      <c r="AI32"/>
      <c r="AJ32"/>
      <c r="AK32"/>
      <c r="AL32"/>
      <c r="AM32"/>
      <c r="AN32"/>
      <c r="AO32"/>
      <c r="AP32"/>
      <c r="AQ32"/>
      <c r="AR32"/>
      <c r="AS32"/>
    </row>
    <row r="33" spans="1:45" s="444" customFormat="1">
      <c r="A33" s="461"/>
      <c r="B33" s="439"/>
      <c r="C33" s="439"/>
      <c r="D33" s="442" t="s">
        <v>39</v>
      </c>
      <c r="E33" s="439"/>
      <c r="F33" s="439"/>
      <c r="G33" s="432"/>
      <c r="H33" s="432"/>
      <c r="I33" s="435"/>
      <c r="J33" s="432"/>
      <c r="K33" s="435"/>
      <c r="L33" s="439"/>
      <c r="M33" s="442"/>
      <c r="N33" s="439"/>
      <c r="O33" s="439"/>
      <c r="P33" s="435"/>
      <c r="Q33" s="435"/>
      <c r="R33" s="435"/>
      <c r="S33" s="445"/>
      <c r="T33" s="435"/>
      <c r="U33" s="435"/>
      <c r="V33" s="435"/>
      <c r="W33" s="439"/>
      <c r="X33"/>
      <c r="Y33"/>
      <c r="Z33"/>
      <c r="AA33"/>
      <c r="AB33"/>
      <c r="AC33"/>
      <c r="AD33"/>
      <c r="AE33"/>
      <c r="AF33"/>
      <c r="AG33"/>
      <c r="AH33"/>
      <c r="AI33"/>
      <c r="AJ33"/>
      <c r="AK33"/>
      <c r="AL33"/>
      <c r="AM33"/>
      <c r="AN33"/>
      <c r="AO33"/>
      <c r="AP33"/>
      <c r="AQ33"/>
      <c r="AR33"/>
      <c r="AS33"/>
    </row>
    <row r="34" spans="1:45" s="444" customFormat="1">
      <c r="A34" s="460" t="s">
        <v>39</v>
      </c>
      <c r="B34" s="439" t="s">
        <v>929</v>
      </c>
      <c r="C34" s="439" t="s">
        <v>887</v>
      </c>
      <c r="D34" s="439" t="s">
        <v>888</v>
      </c>
      <c r="E34" s="439" t="s">
        <v>889</v>
      </c>
      <c r="F34" s="439" t="s">
        <v>39</v>
      </c>
      <c r="G34" s="432" t="s">
        <v>890</v>
      </c>
      <c r="H34" s="432" t="s">
        <v>891</v>
      </c>
      <c r="I34" s="435">
        <v>3408168.5546261994</v>
      </c>
      <c r="J34" s="432" t="s">
        <v>890</v>
      </c>
      <c r="K34" s="435">
        <v>102929</v>
      </c>
      <c r="L34" s="439" t="s">
        <v>892</v>
      </c>
      <c r="M34" s="439" t="s">
        <v>774</v>
      </c>
      <c r="N34" s="439"/>
      <c r="O34" s="439"/>
      <c r="P34" s="435">
        <v>6532</v>
      </c>
      <c r="Q34" s="435">
        <v>18509</v>
      </c>
      <c r="R34" s="435">
        <v>27811</v>
      </c>
      <c r="S34" s="445" t="s">
        <v>884</v>
      </c>
      <c r="T34" s="435">
        <v>0</v>
      </c>
      <c r="U34" s="435">
        <v>0</v>
      </c>
      <c r="V34" s="435">
        <v>0</v>
      </c>
      <c r="W34" s="439" t="s">
        <v>893</v>
      </c>
      <c r="X34"/>
      <c r="Y34"/>
      <c r="Z34"/>
      <c r="AA34"/>
      <c r="AB34"/>
      <c r="AC34"/>
      <c r="AD34"/>
      <c r="AE34"/>
      <c r="AF34"/>
      <c r="AG34"/>
      <c r="AH34"/>
      <c r="AI34"/>
      <c r="AJ34"/>
      <c r="AK34"/>
      <c r="AL34"/>
      <c r="AM34"/>
      <c r="AN34"/>
      <c r="AO34"/>
      <c r="AP34"/>
      <c r="AQ34"/>
      <c r="AR34"/>
      <c r="AS34"/>
    </row>
    <row r="35" spans="1:45" s="444" customFormat="1" ht="26.25">
      <c r="A35" s="461" t="s">
        <v>39</v>
      </c>
      <c r="B35" s="439" t="s">
        <v>930</v>
      </c>
      <c r="C35" s="439" t="s">
        <v>894</v>
      </c>
      <c r="D35" s="439" t="s">
        <v>895</v>
      </c>
      <c r="E35" s="439" t="s">
        <v>896</v>
      </c>
      <c r="F35" s="439" t="s">
        <v>39</v>
      </c>
      <c r="G35" s="432" t="s">
        <v>897</v>
      </c>
      <c r="H35" s="432" t="s">
        <v>774</v>
      </c>
      <c r="I35" s="435">
        <v>330896</v>
      </c>
      <c r="J35" s="432" t="s">
        <v>898</v>
      </c>
      <c r="K35" s="435">
        <v>30781</v>
      </c>
      <c r="L35" s="439"/>
      <c r="M35" s="439" t="s">
        <v>774</v>
      </c>
      <c r="N35" s="439"/>
      <c r="O35" s="439"/>
      <c r="P35" s="435">
        <v>558</v>
      </c>
      <c r="Q35" s="435">
        <v>558</v>
      </c>
      <c r="R35" s="435"/>
      <c r="S35" s="445"/>
      <c r="T35" s="435">
        <v>0</v>
      </c>
      <c r="U35" s="435">
        <v>0</v>
      </c>
      <c r="V35" s="435">
        <v>0</v>
      </c>
      <c r="W35" s="439" t="s">
        <v>899</v>
      </c>
      <c r="X35"/>
      <c r="Y35"/>
      <c r="Z35"/>
      <c r="AA35"/>
      <c r="AB35"/>
      <c r="AC35"/>
      <c r="AD35"/>
      <c r="AE35"/>
      <c r="AF35"/>
      <c r="AG35"/>
      <c r="AH35"/>
      <c r="AI35"/>
      <c r="AJ35"/>
      <c r="AK35"/>
      <c r="AL35"/>
      <c r="AM35"/>
      <c r="AN35"/>
      <c r="AO35"/>
      <c r="AP35"/>
      <c r="AQ35"/>
      <c r="AR35"/>
      <c r="AS35"/>
    </row>
    <row r="36" spans="1:45" s="444" customFormat="1">
      <c r="A36" s="460" t="s">
        <v>39</v>
      </c>
      <c r="B36" s="439" t="s">
        <v>931</v>
      </c>
      <c r="C36" s="439" t="s">
        <v>770</v>
      </c>
      <c r="D36" s="439" t="s">
        <v>900</v>
      </c>
      <c r="E36" s="439" t="s">
        <v>901</v>
      </c>
      <c r="F36" s="439" t="s">
        <v>39</v>
      </c>
      <c r="G36" s="432" t="s">
        <v>947</v>
      </c>
      <c r="H36" s="465" t="s">
        <v>906</v>
      </c>
      <c r="I36" s="435">
        <v>254365</v>
      </c>
      <c r="J36" s="432" t="s">
        <v>947</v>
      </c>
      <c r="K36" s="435">
        <v>6617</v>
      </c>
      <c r="L36" s="439" t="s">
        <v>902</v>
      </c>
      <c r="M36" s="439" t="s">
        <v>774</v>
      </c>
      <c r="N36" s="439"/>
      <c r="O36" s="439"/>
      <c r="P36" s="435">
        <v>3000</v>
      </c>
      <c r="Q36" s="435">
        <v>9000</v>
      </c>
      <c r="R36" s="435">
        <v>12000</v>
      </c>
      <c r="S36" s="445"/>
      <c r="T36" s="435">
        <v>543</v>
      </c>
      <c r="U36" s="435">
        <v>2516</v>
      </c>
      <c r="V36" s="435">
        <v>4805</v>
      </c>
      <c r="W36" s="439" t="s">
        <v>903</v>
      </c>
      <c r="X36"/>
      <c r="Y36"/>
      <c r="Z36"/>
      <c r="AA36"/>
      <c r="AB36"/>
      <c r="AC36"/>
      <c r="AD36"/>
      <c r="AE36"/>
      <c r="AF36"/>
      <c r="AG36"/>
      <c r="AH36"/>
      <c r="AI36"/>
      <c r="AJ36"/>
      <c r="AK36"/>
      <c r="AL36"/>
      <c r="AM36"/>
      <c r="AN36"/>
      <c r="AO36"/>
      <c r="AP36"/>
      <c r="AQ36"/>
      <c r="AR36"/>
      <c r="AS36"/>
    </row>
    <row r="37" spans="1:45" s="444" customFormat="1" ht="26.25">
      <c r="A37" s="461" t="s">
        <v>39</v>
      </c>
      <c r="B37" s="439" t="s">
        <v>932</v>
      </c>
      <c r="C37" s="439" t="s">
        <v>904</v>
      </c>
      <c r="D37" s="439" t="s">
        <v>888</v>
      </c>
      <c r="E37" s="439" t="s">
        <v>905</v>
      </c>
      <c r="F37" s="439" t="s">
        <v>39</v>
      </c>
      <c r="G37" s="432" t="s">
        <v>128</v>
      </c>
      <c r="H37" s="432" t="s">
        <v>906</v>
      </c>
      <c r="I37" s="435">
        <v>88788</v>
      </c>
      <c r="J37" s="432" t="s">
        <v>907</v>
      </c>
      <c r="K37" s="435">
        <v>1704</v>
      </c>
      <c r="L37" s="439" t="s">
        <v>892</v>
      </c>
      <c r="M37" s="439" t="s">
        <v>774</v>
      </c>
      <c r="N37" s="439"/>
      <c r="O37" s="439"/>
      <c r="P37" s="435">
        <v>500</v>
      </c>
      <c r="Q37" s="435">
        <v>1500</v>
      </c>
      <c r="R37" s="435">
        <v>1000</v>
      </c>
      <c r="S37" s="445"/>
      <c r="T37" s="435"/>
      <c r="U37" s="435"/>
      <c r="V37" s="435"/>
      <c r="W37" s="439" t="s">
        <v>908</v>
      </c>
      <c r="X37"/>
      <c r="Y37"/>
      <c r="Z37"/>
      <c r="AA37"/>
      <c r="AB37"/>
      <c r="AC37"/>
      <c r="AD37"/>
      <c r="AE37"/>
      <c r="AF37"/>
      <c r="AG37"/>
      <c r="AH37"/>
      <c r="AI37"/>
      <c r="AJ37"/>
      <c r="AK37"/>
      <c r="AL37"/>
      <c r="AM37"/>
      <c r="AN37"/>
      <c r="AO37"/>
      <c r="AP37"/>
      <c r="AQ37"/>
      <c r="AR37"/>
      <c r="AS37"/>
    </row>
    <row r="38" spans="1:45" s="444" customFormat="1" ht="26.25">
      <c r="A38" s="460" t="s">
        <v>39</v>
      </c>
      <c r="B38" s="439" t="s">
        <v>933</v>
      </c>
      <c r="C38" s="439" t="s">
        <v>909</v>
      </c>
      <c r="D38" s="439" t="s">
        <v>910</v>
      </c>
      <c r="E38" s="439" t="s">
        <v>911</v>
      </c>
      <c r="F38" s="439" t="s">
        <v>39</v>
      </c>
      <c r="G38" s="432" t="s">
        <v>890</v>
      </c>
      <c r="H38" s="432" t="s">
        <v>912</v>
      </c>
      <c r="I38" s="435">
        <v>38754</v>
      </c>
      <c r="J38" s="432" t="s">
        <v>128</v>
      </c>
      <c r="K38" s="435">
        <v>3293</v>
      </c>
      <c r="L38" s="439" t="s">
        <v>913</v>
      </c>
      <c r="M38" s="439" t="s">
        <v>774</v>
      </c>
      <c r="N38" s="439"/>
      <c r="O38" s="439"/>
      <c r="P38" s="435">
        <v>479000</v>
      </c>
      <c r="Q38" s="435">
        <v>698000</v>
      </c>
      <c r="R38" s="435">
        <v>632000</v>
      </c>
      <c r="S38" s="445"/>
      <c r="T38" s="435">
        <v>6305</v>
      </c>
      <c r="U38" s="435">
        <v>7232</v>
      </c>
      <c r="V38" s="435">
        <v>6932</v>
      </c>
      <c r="W38" s="439" t="s">
        <v>914</v>
      </c>
      <c r="X38"/>
      <c r="Y38"/>
      <c r="Z38"/>
      <c r="AA38"/>
      <c r="AB38"/>
      <c r="AC38"/>
      <c r="AD38"/>
      <c r="AE38"/>
      <c r="AF38"/>
      <c r="AG38"/>
      <c r="AH38"/>
      <c r="AI38"/>
      <c r="AJ38"/>
      <c r="AK38"/>
      <c r="AL38"/>
      <c r="AM38"/>
      <c r="AN38"/>
      <c r="AO38"/>
      <c r="AP38"/>
      <c r="AQ38"/>
      <c r="AR38"/>
      <c r="AS38"/>
    </row>
    <row r="39" spans="1:45" s="444" customFormat="1" ht="26.25">
      <c r="A39" s="461" t="s">
        <v>39</v>
      </c>
      <c r="B39" s="439" t="s">
        <v>934</v>
      </c>
      <c r="C39" s="439" t="s">
        <v>915</v>
      </c>
      <c r="D39" s="439" t="s">
        <v>916</v>
      </c>
      <c r="E39" s="439" t="s">
        <v>917</v>
      </c>
      <c r="F39" s="439" t="s">
        <v>39</v>
      </c>
      <c r="G39" s="432" t="s">
        <v>890</v>
      </c>
      <c r="H39" s="432"/>
      <c r="I39" s="435">
        <v>6240</v>
      </c>
      <c r="J39" s="432" t="s">
        <v>129</v>
      </c>
      <c r="K39" s="435">
        <v>590</v>
      </c>
      <c r="L39" s="439" t="s">
        <v>774</v>
      </c>
      <c r="M39" s="439" t="s">
        <v>774</v>
      </c>
      <c r="N39" s="439"/>
      <c r="O39" s="439"/>
      <c r="P39" s="435">
        <v>300</v>
      </c>
      <c r="Q39" s="435">
        <v>300</v>
      </c>
      <c r="R39" s="435">
        <v>300</v>
      </c>
      <c r="S39" s="445"/>
      <c r="T39" s="435">
        <v>0</v>
      </c>
      <c r="U39" s="435">
        <v>1138</v>
      </c>
      <c r="V39" s="435">
        <v>1091</v>
      </c>
      <c r="W39" s="439" t="s">
        <v>918</v>
      </c>
      <c r="X39"/>
      <c r="Y39"/>
      <c r="Z39"/>
      <c r="AA39"/>
      <c r="AB39"/>
      <c r="AC39"/>
      <c r="AD39"/>
      <c r="AE39"/>
      <c r="AF39"/>
      <c r="AG39"/>
      <c r="AH39"/>
      <c r="AI39"/>
      <c r="AJ39"/>
      <c r="AK39"/>
      <c r="AL39"/>
      <c r="AM39"/>
      <c r="AN39"/>
      <c r="AO39"/>
      <c r="AP39"/>
      <c r="AQ39"/>
      <c r="AR39"/>
      <c r="AS39"/>
    </row>
    <row r="40" spans="1:45" s="444" customFormat="1" ht="39.4">
      <c r="A40" s="460" t="s">
        <v>39</v>
      </c>
      <c r="B40" s="439" t="s">
        <v>935</v>
      </c>
      <c r="C40" s="439" t="s">
        <v>919</v>
      </c>
      <c r="D40" s="439" t="s">
        <v>920</v>
      </c>
      <c r="E40" s="439" t="s">
        <v>921</v>
      </c>
      <c r="F40" s="439" t="s">
        <v>39</v>
      </c>
      <c r="G40" s="432" t="s">
        <v>890</v>
      </c>
      <c r="H40" s="432" t="s">
        <v>807</v>
      </c>
      <c r="I40" s="435" t="s">
        <v>807</v>
      </c>
      <c r="J40" s="432" t="s">
        <v>807</v>
      </c>
      <c r="K40" s="435" t="s">
        <v>807</v>
      </c>
      <c r="L40" s="439" t="s">
        <v>922</v>
      </c>
      <c r="M40" s="439" t="s">
        <v>774</v>
      </c>
      <c r="N40" s="439"/>
      <c r="O40" s="439"/>
      <c r="P40" s="435">
        <v>5</v>
      </c>
      <c r="Q40" s="435">
        <v>5</v>
      </c>
      <c r="R40" s="435">
        <v>5</v>
      </c>
      <c r="S40" s="445" t="s">
        <v>884</v>
      </c>
      <c r="T40" s="435" t="s">
        <v>807</v>
      </c>
      <c r="U40" s="435" t="s">
        <v>807</v>
      </c>
      <c r="V40" s="435" t="s">
        <v>807</v>
      </c>
      <c r="W40" s="439" t="s">
        <v>923</v>
      </c>
      <c r="X40"/>
      <c r="Y40"/>
      <c r="Z40"/>
      <c r="AA40"/>
      <c r="AB40"/>
      <c r="AC40"/>
      <c r="AD40"/>
      <c r="AE40"/>
      <c r="AF40"/>
      <c r="AG40"/>
      <c r="AH40"/>
      <c r="AI40"/>
      <c r="AJ40"/>
      <c r="AK40"/>
      <c r="AL40"/>
      <c r="AM40"/>
      <c r="AN40"/>
      <c r="AO40"/>
      <c r="AP40"/>
      <c r="AQ40"/>
      <c r="AR40"/>
      <c r="AS40"/>
    </row>
    <row r="41" spans="1:45" s="444" customFormat="1" ht="91.9">
      <c r="A41" s="461" t="s">
        <v>39</v>
      </c>
      <c r="B41" s="439" t="s">
        <v>936</v>
      </c>
      <c r="C41" s="439" t="s">
        <v>924</v>
      </c>
      <c r="D41" s="439" t="s">
        <v>925</v>
      </c>
      <c r="E41" s="439" t="s">
        <v>926</v>
      </c>
      <c r="F41" s="439" t="s">
        <v>774</v>
      </c>
      <c r="G41" s="432" t="s">
        <v>890</v>
      </c>
      <c r="H41" s="432" t="s">
        <v>1363</v>
      </c>
      <c r="I41" s="435">
        <v>2354</v>
      </c>
      <c r="J41" s="432" t="s">
        <v>947</v>
      </c>
      <c r="K41" s="435">
        <v>336</v>
      </c>
      <c r="L41" s="439" t="s">
        <v>927</v>
      </c>
      <c r="M41" s="439"/>
      <c r="N41" s="439"/>
      <c r="O41" s="439"/>
      <c r="P41" s="435">
        <v>0</v>
      </c>
      <c r="Q41" s="435">
        <v>0</v>
      </c>
      <c r="R41" s="435">
        <v>420</v>
      </c>
      <c r="S41" s="445" t="s">
        <v>786</v>
      </c>
      <c r="T41" s="435">
        <v>0</v>
      </c>
      <c r="U41" s="435">
        <v>729</v>
      </c>
      <c r="V41" s="435">
        <v>743</v>
      </c>
      <c r="W41" s="439" t="s">
        <v>928</v>
      </c>
      <c r="X41"/>
      <c r="Y41"/>
      <c r="Z41"/>
      <c r="AA41"/>
      <c r="AB41"/>
      <c r="AC41"/>
      <c r="AD41"/>
      <c r="AE41"/>
      <c r="AF41"/>
      <c r="AG41"/>
      <c r="AH41"/>
      <c r="AI41"/>
      <c r="AJ41"/>
      <c r="AK41"/>
      <c r="AL41"/>
      <c r="AM41"/>
      <c r="AN41"/>
      <c r="AO41"/>
      <c r="AP41"/>
      <c r="AQ41"/>
      <c r="AR41"/>
      <c r="AS41"/>
    </row>
    <row r="42" spans="1:45" s="444" customFormat="1">
      <c r="A42" s="460"/>
      <c r="B42" s="439"/>
      <c r="C42" s="439"/>
      <c r="D42" s="442" t="s">
        <v>114</v>
      </c>
      <c r="E42" s="439"/>
      <c r="F42" s="439"/>
      <c r="G42" s="432"/>
      <c r="H42" s="432"/>
      <c r="I42" s="435"/>
      <c r="J42" s="432"/>
      <c r="K42" s="435"/>
      <c r="L42" s="439"/>
      <c r="M42" s="442"/>
      <c r="N42" s="439"/>
      <c r="O42" s="439"/>
      <c r="P42" s="435"/>
      <c r="Q42" s="435"/>
      <c r="R42" s="435"/>
      <c r="S42" s="445"/>
      <c r="T42" s="435"/>
      <c r="U42" s="435"/>
      <c r="V42" s="435"/>
      <c r="W42" s="439"/>
      <c r="X42"/>
      <c r="Y42"/>
      <c r="Z42"/>
      <c r="AA42"/>
      <c r="AB42"/>
      <c r="AC42"/>
      <c r="AD42"/>
      <c r="AE42"/>
      <c r="AF42"/>
      <c r="AG42"/>
      <c r="AH42"/>
      <c r="AI42"/>
      <c r="AJ42"/>
      <c r="AK42"/>
      <c r="AL42"/>
      <c r="AM42"/>
      <c r="AN42"/>
      <c r="AO42"/>
      <c r="AP42"/>
      <c r="AQ42"/>
      <c r="AR42"/>
      <c r="AS42"/>
    </row>
    <row r="43" spans="1:45" s="444" customFormat="1" ht="52.5">
      <c r="A43" s="461" t="s">
        <v>114</v>
      </c>
      <c r="B43" s="439" t="s">
        <v>875</v>
      </c>
      <c r="C43" s="439" t="s">
        <v>856</v>
      </c>
      <c r="D43" s="439" t="s">
        <v>857</v>
      </c>
      <c r="E43" s="439" t="s">
        <v>858</v>
      </c>
      <c r="F43" s="439" t="s">
        <v>36</v>
      </c>
      <c r="G43" s="432" t="s">
        <v>947</v>
      </c>
      <c r="H43" s="432" t="s">
        <v>947</v>
      </c>
      <c r="I43" s="435">
        <v>270</v>
      </c>
      <c r="J43" s="432" t="s">
        <v>947</v>
      </c>
      <c r="K43" s="435">
        <v>30</v>
      </c>
      <c r="L43" s="439" t="s">
        <v>859</v>
      </c>
      <c r="M43" s="439" t="s">
        <v>860</v>
      </c>
      <c r="N43" s="439" t="s">
        <v>811</v>
      </c>
      <c r="O43" s="439" t="s">
        <v>861</v>
      </c>
      <c r="P43" s="435">
        <v>210</v>
      </c>
      <c r="Q43" s="435">
        <v>0</v>
      </c>
      <c r="R43" s="435">
        <v>0</v>
      </c>
      <c r="S43" s="445" t="s">
        <v>786</v>
      </c>
      <c r="T43" s="435">
        <v>6</v>
      </c>
      <c r="U43" s="435">
        <v>12.5</v>
      </c>
      <c r="V43" s="435">
        <v>12.5</v>
      </c>
      <c r="W43" s="439"/>
      <c r="X43"/>
      <c r="Y43"/>
      <c r="Z43"/>
      <c r="AA43"/>
      <c r="AB43"/>
      <c r="AC43"/>
      <c r="AD43"/>
      <c r="AE43"/>
      <c r="AF43"/>
      <c r="AG43"/>
      <c r="AH43"/>
      <c r="AI43"/>
      <c r="AJ43"/>
      <c r="AK43"/>
      <c r="AL43"/>
      <c r="AM43"/>
      <c r="AN43"/>
      <c r="AO43"/>
      <c r="AP43"/>
      <c r="AQ43"/>
      <c r="AR43"/>
      <c r="AS43"/>
    </row>
    <row r="44" spans="1:45" s="444" customFormat="1" ht="52.5">
      <c r="A44" s="460" t="s">
        <v>114</v>
      </c>
      <c r="B44" s="439" t="s">
        <v>876</v>
      </c>
      <c r="C44" s="439" t="s">
        <v>770</v>
      </c>
      <c r="D44" s="439" t="s">
        <v>862</v>
      </c>
      <c r="E44" s="439" t="s">
        <v>863</v>
      </c>
      <c r="F44" s="439" t="s">
        <v>36</v>
      </c>
      <c r="G44" s="432" t="s">
        <v>947</v>
      </c>
      <c r="H44" s="432" t="s">
        <v>947</v>
      </c>
      <c r="I44" s="435">
        <v>510</v>
      </c>
      <c r="J44" s="432" t="s">
        <v>947</v>
      </c>
      <c r="K44" s="435">
        <v>51</v>
      </c>
      <c r="L44" s="439" t="s">
        <v>864</v>
      </c>
      <c r="M44" s="439" t="s">
        <v>860</v>
      </c>
      <c r="N44" s="439" t="s">
        <v>811</v>
      </c>
      <c r="O44" s="439" t="s">
        <v>865</v>
      </c>
      <c r="P44" s="435">
        <v>475</v>
      </c>
      <c r="Q44" s="435">
        <v>0</v>
      </c>
      <c r="R44" s="435">
        <v>0</v>
      </c>
      <c r="S44" s="445" t="s">
        <v>786</v>
      </c>
      <c r="T44" s="435">
        <v>35</v>
      </c>
      <c r="U44" s="435">
        <v>77.3</v>
      </c>
      <c r="V44" s="435">
        <v>77.3</v>
      </c>
      <c r="W44" s="439"/>
      <c r="X44"/>
      <c r="Y44"/>
      <c r="Z44"/>
      <c r="AA44"/>
      <c r="AB44"/>
      <c r="AC44"/>
      <c r="AD44"/>
      <c r="AE44"/>
      <c r="AF44"/>
      <c r="AG44"/>
      <c r="AH44"/>
      <c r="AI44"/>
      <c r="AJ44"/>
      <c r="AK44"/>
      <c r="AL44"/>
      <c r="AM44"/>
      <c r="AN44"/>
      <c r="AO44"/>
      <c r="AP44"/>
      <c r="AQ44"/>
      <c r="AR44"/>
      <c r="AS44"/>
    </row>
    <row r="45" spans="1:45" s="444" customFormat="1" ht="52.5">
      <c r="A45" s="461" t="s">
        <v>114</v>
      </c>
      <c r="B45" s="439" t="s">
        <v>877</v>
      </c>
      <c r="C45" s="439" t="s">
        <v>770</v>
      </c>
      <c r="D45" s="439" t="s">
        <v>857</v>
      </c>
      <c r="E45" s="439" t="s">
        <v>866</v>
      </c>
      <c r="F45" s="439" t="s">
        <v>36</v>
      </c>
      <c r="G45" s="432" t="s">
        <v>947</v>
      </c>
      <c r="H45" s="432" t="s">
        <v>947</v>
      </c>
      <c r="I45" s="435">
        <v>101.33</v>
      </c>
      <c r="J45" s="432" t="s">
        <v>947</v>
      </c>
      <c r="K45" s="435">
        <v>7.6</v>
      </c>
      <c r="L45" s="439" t="s">
        <v>867</v>
      </c>
      <c r="M45" s="439" t="s">
        <v>860</v>
      </c>
      <c r="N45" s="439" t="s">
        <v>811</v>
      </c>
      <c r="O45" s="439" t="s">
        <v>868</v>
      </c>
      <c r="P45" s="435">
        <v>120</v>
      </c>
      <c r="Q45" s="435">
        <v>0</v>
      </c>
      <c r="R45" s="435">
        <v>0</v>
      </c>
      <c r="S45" s="445" t="s">
        <v>786</v>
      </c>
      <c r="T45" s="435">
        <v>1.5</v>
      </c>
      <c r="U45" s="435">
        <v>3.3</v>
      </c>
      <c r="V45" s="435">
        <v>3.3</v>
      </c>
      <c r="W45" s="439"/>
      <c r="X45"/>
      <c r="Y45"/>
      <c r="Z45"/>
      <c r="AA45"/>
      <c r="AB45"/>
      <c r="AC45"/>
      <c r="AD45"/>
      <c r="AE45"/>
      <c r="AF45"/>
      <c r="AG45"/>
      <c r="AH45"/>
      <c r="AI45"/>
      <c r="AJ45"/>
      <c r="AK45"/>
      <c r="AL45"/>
      <c r="AM45"/>
      <c r="AN45"/>
      <c r="AO45"/>
      <c r="AP45"/>
      <c r="AQ45"/>
      <c r="AR45"/>
      <c r="AS45"/>
    </row>
    <row r="46" spans="1:45" s="444" customFormat="1" ht="78.75">
      <c r="A46" s="460" t="s">
        <v>114</v>
      </c>
      <c r="B46" s="439" t="s">
        <v>878</v>
      </c>
      <c r="C46" s="439" t="s">
        <v>856</v>
      </c>
      <c r="D46" s="439" t="s">
        <v>869</v>
      </c>
      <c r="E46" s="439" t="s">
        <v>870</v>
      </c>
      <c r="F46" s="439" t="s">
        <v>871</v>
      </c>
      <c r="G46" s="432" t="s">
        <v>947</v>
      </c>
      <c r="H46" s="432" t="s">
        <v>947</v>
      </c>
      <c r="I46" s="435">
        <v>175</v>
      </c>
      <c r="J46" s="432" t="s">
        <v>947</v>
      </c>
      <c r="K46" s="435">
        <v>13</v>
      </c>
      <c r="L46" s="439" t="s">
        <v>872</v>
      </c>
      <c r="M46" s="439" t="s">
        <v>873</v>
      </c>
      <c r="N46" s="439" t="s">
        <v>811</v>
      </c>
      <c r="O46" s="439" t="s">
        <v>874</v>
      </c>
      <c r="P46" s="435">
        <v>286</v>
      </c>
      <c r="Q46" s="435">
        <v>0</v>
      </c>
      <c r="R46" s="435">
        <v>0</v>
      </c>
      <c r="S46" s="445" t="s">
        <v>786</v>
      </c>
      <c r="T46" s="435">
        <v>31.443000000000001</v>
      </c>
      <c r="U46" s="435">
        <v>31.443000000000001</v>
      </c>
      <c r="V46" s="435">
        <v>31.443000000000001</v>
      </c>
      <c r="W46" s="439"/>
      <c r="X46"/>
      <c r="Y46"/>
      <c r="Z46"/>
      <c r="AA46"/>
      <c r="AB46"/>
      <c r="AC46"/>
      <c r="AD46"/>
      <c r="AE46"/>
      <c r="AF46"/>
      <c r="AG46"/>
      <c r="AH46"/>
      <c r="AI46"/>
      <c r="AJ46"/>
      <c r="AK46"/>
      <c r="AL46"/>
      <c r="AM46"/>
      <c r="AN46"/>
      <c r="AO46"/>
      <c r="AP46"/>
      <c r="AQ46"/>
      <c r="AR46"/>
      <c r="AS46"/>
    </row>
    <row r="47" spans="1:45" s="444" customFormat="1">
      <c r="A47" s="461"/>
      <c r="B47" s="439"/>
      <c r="C47" s="442"/>
      <c r="D47" s="442" t="s">
        <v>235</v>
      </c>
      <c r="E47" s="439"/>
      <c r="F47" s="439"/>
      <c r="G47" s="432"/>
      <c r="H47" s="432"/>
      <c r="I47" s="435"/>
      <c r="J47" s="432"/>
      <c r="K47" s="435"/>
      <c r="L47" s="439"/>
      <c r="M47" s="442"/>
      <c r="N47" s="439"/>
      <c r="O47" s="439"/>
      <c r="P47" s="435"/>
      <c r="Q47" s="435"/>
      <c r="R47" s="435"/>
      <c r="S47" s="445"/>
      <c r="T47" s="435"/>
      <c r="U47" s="435"/>
      <c r="V47" s="435"/>
      <c r="W47" s="439"/>
      <c r="X47"/>
      <c r="Y47"/>
      <c r="Z47"/>
      <c r="AA47"/>
      <c r="AB47"/>
      <c r="AC47"/>
      <c r="AD47"/>
      <c r="AE47"/>
      <c r="AF47"/>
      <c r="AG47"/>
      <c r="AH47"/>
      <c r="AI47"/>
      <c r="AJ47"/>
      <c r="AK47"/>
      <c r="AL47"/>
      <c r="AM47"/>
      <c r="AN47"/>
      <c r="AO47"/>
      <c r="AP47"/>
      <c r="AQ47"/>
      <c r="AR47"/>
      <c r="AS47"/>
    </row>
    <row r="48" spans="1:45" s="444" customFormat="1" ht="26.25">
      <c r="A48" s="460" t="s">
        <v>235</v>
      </c>
      <c r="B48" s="439" t="s">
        <v>886</v>
      </c>
      <c r="C48" s="439" t="s">
        <v>879</v>
      </c>
      <c r="D48" s="439" t="s">
        <v>880</v>
      </c>
      <c r="E48" s="439" t="s">
        <v>881</v>
      </c>
      <c r="F48" s="439" t="s">
        <v>240</v>
      </c>
      <c r="G48" s="432" t="s">
        <v>1362</v>
      </c>
      <c r="H48" s="432" t="s">
        <v>947</v>
      </c>
      <c r="I48" s="435" t="s">
        <v>830</v>
      </c>
      <c r="J48" s="432">
        <v>2025</v>
      </c>
      <c r="K48" s="435" t="s">
        <v>830</v>
      </c>
      <c r="L48" s="439" t="s">
        <v>882</v>
      </c>
      <c r="M48" s="439" t="s">
        <v>883</v>
      </c>
      <c r="N48" s="439" t="s">
        <v>811</v>
      </c>
      <c r="O48" s="439"/>
      <c r="P48" s="435">
        <v>130</v>
      </c>
      <c r="Q48" s="435">
        <v>0</v>
      </c>
      <c r="R48" s="435" t="s">
        <v>830</v>
      </c>
      <c r="S48" s="445" t="s">
        <v>884</v>
      </c>
      <c r="T48" s="435" t="s">
        <v>807</v>
      </c>
      <c r="U48" s="435" t="s">
        <v>807</v>
      </c>
      <c r="V48" s="435" t="s">
        <v>807</v>
      </c>
      <c r="W48" s="439" t="s">
        <v>885</v>
      </c>
      <c r="X48"/>
      <c r="Y48"/>
      <c r="Z48"/>
      <c r="AA48"/>
      <c r="AB48"/>
      <c r="AC48"/>
      <c r="AD48"/>
      <c r="AE48"/>
      <c r="AF48"/>
      <c r="AG48"/>
      <c r="AH48"/>
      <c r="AI48"/>
      <c r="AJ48"/>
      <c r="AK48"/>
      <c r="AL48"/>
      <c r="AM48"/>
      <c r="AN48"/>
      <c r="AO48"/>
      <c r="AP48"/>
      <c r="AQ48"/>
      <c r="AR48"/>
      <c r="AS48"/>
    </row>
    <row r="49" spans="2:45" s="444" customFormat="1">
      <c r="B49" s="446"/>
      <c r="C49" s="446"/>
      <c r="D49" s="446"/>
      <c r="E49" s="446"/>
      <c r="F49" s="446"/>
      <c r="G49" s="447"/>
      <c r="H49" s="447"/>
      <c r="I49" s="448"/>
      <c r="J49" s="447"/>
      <c r="K49" s="448"/>
      <c r="L49" s="446"/>
      <c r="M49"/>
      <c r="N49" s="446"/>
      <c r="O49" s="446"/>
      <c r="P49" s="446"/>
      <c r="Q49" s="446"/>
      <c r="R49" s="450"/>
      <c r="S49" s="450"/>
      <c r="T49" s="450"/>
      <c r="U49" s="447"/>
      <c r="V49" s="448"/>
      <c r="W49" s="448"/>
      <c r="X49"/>
      <c r="Y49"/>
      <c r="Z49"/>
      <c r="AA49"/>
      <c r="AB49"/>
      <c r="AC49"/>
      <c r="AD49"/>
      <c r="AE49"/>
      <c r="AF49"/>
      <c r="AG49"/>
      <c r="AH49"/>
      <c r="AI49"/>
      <c r="AJ49"/>
      <c r="AK49"/>
      <c r="AL49"/>
      <c r="AM49"/>
      <c r="AN49"/>
      <c r="AO49"/>
      <c r="AP49"/>
      <c r="AQ49"/>
      <c r="AR49"/>
      <c r="AS49"/>
    </row>
    <row r="50" spans="2:45" s="444" customFormat="1">
      <c r="B50" s="446"/>
      <c r="C50" s="446"/>
      <c r="D50" s="446"/>
      <c r="E50" s="446"/>
      <c r="F50" s="446"/>
      <c r="G50" s="447"/>
      <c r="H50" s="447"/>
      <c r="I50" s="448"/>
      <c r="J50" s="447"/>
      <c r="K50" s="448"/>
      <c r="L50" s="446"/>
      <c r="M50"/>
      <c r="N50" s="446"/>
      <c r="O50" s="446"/>
      <c r="P50" s="446"/>
      <c r="Q50" s="446"/>
      <c r="R50" s="450"/>
      <c r="S50" s="450"/>
      <c r="T50" s="450"/>
      <c r="U50" s="447"/>
      <c r="V50" s="448"/>
      <c r="W50" s="448"/>
      <c r="X50"/>
      <c r="Y50"/>
      <c r="Z50"/>
      <c r="AA50"/>
      <c r="AB50"/>
      <c r="AC50"/>
      <c r="AD50"/>
      <c r="AE50"/>
      <c r="AF50"/>
      <c r="AG50"/>
      <c r="AH50"/>
      <c r="AI50"/>
      <c r="AJ50"/>
      <c r="AK50"/>
      <c r="AL50"/>
      <c r="AM50"/>
      <c r="AN50"/>
      <c r="AO50"/>
      <c r="AP50"/>
      <c r="AQ50"/>
      <c r="AR50"/>
      <c r="AS50"/>
    </row>
    <row r="51" spans="2:45">
      <c r="M51"/>
    </row>
    <row r="52" spans="2:45">
      <c r="M52"/>
    </row>
    <row r="53" spans="2:45">
      <c r="M53"/>
    </row>
    <row r="54" spans="2:45">
      <c r="M54"/>
    </row>
    <row r="55" spans="2:45">
      <c r="M55"/>
    </row>
    <row r="56" spans="2:45">
      <c r="M56"/>
    </row>
    <row r="57" spans="2:45">
      <c r="M57"/>
    </row>
    <row r="58" spans="2:45">
      <c r="M58"/>
    </row>
    <row r="59" spans="2:45">
      <c r="M59"/>
    </row>
    <row r="60" spans="2:45">
      <c r="M60"/>
    </row>
    <row r="61" spans="2:45">
      <c r="M61"/>
    </row>
    <row r="62" spans="2:45">
      <c r="M62"/>
    </row>
    <row r="63" spans="2:45">
      <c r="M63"/>
    </row>
    <row r="64" spans="2:45">
      <c r="M64"/>
    </row>
    <row r="65" spans="13:13">
      <c r="M65"/>
    </row>
    <row r="66" spans="13:13">
      <c r="M66"/>
    </row>
    <row r="67" spans="13:13">
      <c r="M67"/>
    </row>
    <row r="68" spans="13:13">
      <c r="M68"/>
    </row>
    <row r="69" spans="13:13">
      <c r="M69"/>
    </row>
    <row r="70" spans="13:13">
      <c r="M70"/>
    </row>
    <row r="71" spans="13:13">
      <c r="M71"/>
    </row>
    <row r="72" spans="13:13">
      <c r="M72"/>
    </row>
    <row r="73" spans="13:13">
      <c r="M73"/>
    </row>
    <row r="74" spans="13:13">
      <c r="M74"/>
    </row>
    <row r="75" spans="13:13">
      <c r="M75"/>
    </row>
    <row r="76" spans="13:13">
      <c r="M76"/>
    </row>
    <row r="77" spans="13:13">
      <c r="M77"/>
    </row>
    <row r="78" spans="13:13">
      <c r="M78"/>
    </row>
    <row r="79" spans="13:13">
      <c r="M79"/>
    </row>
    <row r="80" spans="13:13">
      <c r="M80"/>
    </row>
    <row r="81" spans="13:13">
      <c r="M81"/>
    </row>
    <row r="82" spans="13:13">
      <c r="M82"/>
    </row>
    <row r="83" spans="13:13">
      <c r="M83"/>
    </row>
    <row r="84" spans="13:13">
      <c r="M84"/>
    </row>
    <row r="85" spans="13:13">
      <c r="M85"/>
    </row>
    <row r="86" spans="13:13">
      <c r="M86"/>
    </row>
    <row r="87" spans="13:13">
      <c r="M87"/>
    </row>
    <row r="88" spans="13:13">
      <c r="M88"/>
    </row>
    <row r="89" spans="13:13">
      <c r="M89"/>
    </row>
    <row r="90" spans="13:13">
      <c r="M90"/>
    </row>
    <row r="91" spans="13:13">
      <c r="M91"/>
    </row>
    <row r="92" spans="13:13">
      <c r="M92"/>
    </row>
    <row r="93" spans="13:13">
      <c r="M93"/>
    </row>
    <row r="94" spans="13:13">
      <c r="M94"/>
    </row>
    <row r="95" spans="13:13">
      <c r="M95"/>
    </row>
    <row r="96" spans="13:13">
      <c r="M96"/>
    </row>
    <row r="97" spans="13:13">
      <c r="M97"/>
    </row>
    <row r="98" spans="13:13">
      <c r="M98"/>
    </row>
    <row r="99" spans="13:13">
      <c r="M99"/>
    </row>
    <row r="100" spans="13:13">
      <c r="M100"/>
    </row>
    <row r="101" spans="13:13">
      <c r="M101"/>
    </row>
    <row r="102" spans="13:13">
      <c r="M102"/>
    </row>
    <row r="103" spans="13:13">
      <c r="M103"/>
    </row>
    <row r="104" spans="13:13">
      <c r="M104"/>
    </row>
    <row r="105" spans="13:13">
      <c r="M105"/>
    </row>
    <row r="106" spans="13:13">
      <c r="M106"/>
    </row>
    <row r="107" spans="13:13">
      <c r="M107"/>
    </row>
    <row r="108" spans="13:13">
      <c r="M108"/>
    </row>
    <row r="109" spans="13:13">
      <c r="M109"/>
    </row>
    <row r="110" spans="13:13">
      <c r="M110"/>
    </row>
    <row r="111" spans="13:13">
      <c r="M111"/>
    </row>
    <row r="112" spans="13:13">
      <c r="M112"/>
    </row>
    <row r="113" spans="13:13">
      <c r="M113"/>
    </row>
    <row r="114" spans="13:13">
      <c r="M114"/>
    </row>
    <row r="115" spans="13:13">
      <c r="M115"/>
    </row>
    <row r="116" spans="13:13">
      <c r="M116"/>
    </row>
    <row r="117" spans="13:13">
      <c r="M117"/>
    </row>
    <row r="118" spans="13:13">
      <c r="M118"/>
    </row>
    <row r="119" spans="13:13">
      <c r="M119"/>
    </row>
    <row r="120" spans="13:13">
      <c r="M120"/>
    </row>
    <row r="121" spans="13:13">
      <c r="M121"/>
    </row>
    <row r="122" spans="13:13">
      <c r="M122"/>
    </row>
    <row r="123" spans="13:13">
      <c r="M123"/>
    </row>
    <row r="124" spans="13:13">
      <c r="M124"/>
    </row>
    <row r="125" spans="13:13">
      <c r="M125"/>
    </row>
    <row r="126" spans="13:13">
      <c r="M126"/>
    </row>
    <row r="127" spans="13:13">
      <c r="M127"/>
    </row>
    <row r="128" spans="13:13">
      <c r="M128"/>
    </row>
    <row r="129" spans="13:13">
      <c r="M129"/>
    </row>
    <row r="130" spans="13:13">
      <c r="M130"/>
    </row>
    <row r="131" spans="13:13">
      <c r="M131"/>
    </row>
    <row r="132" spans="13:13">
      <c r="M132"/>
    </row>
    <row r="133" spans="13:13">
      <c r="M133"/>
    </row>
    <row r="134" spans="13:13">
      <c r="M134"/>
    </row>
    <row r="135" spans="13:13">
      <c r="M135"/>
    </row>
    <row r="136" spans="13:13">
      <c r="M136"/>
    </row>
    <row r="137" spans="13:13">
      <c r="M137"/>
    </row>
    <row r="138" spans="13:13">
      <c r="M138"/>
    </row>
    <row r="139" spans="13:13">
      <c r="M139"/>
    </row>
    <row r="140" spans="13:13">
      <c r="M140"/>
    </row>
    <row r="141" spans="13:13">
      <c r="M141"/>
    </row>
    <row r="142" spans="13:13">
      <c r="M142"/>
    </row>
    <row r="143" spans="13:13">
      <c r="M143"/>
    </row>
    <row r="144" spans="13:13">
      <c r="M144"/>
    </row>
    <row r="145" spans="13:13">
      <c r="M145"/>
    </row>
    <row r="146" spans="13:13">
      <c r="M146"/>
    </row>
    <row r="147" spans="13:13">
      <c r="M147"/>
    </row>
    <row r="148" spans="13:13">
      <c r="M148"/>
    </row>
    <row r="149" spans="13:13">
      <c r="M149"/>
    </row>
    <row r="150" spans="13:13">
      <c r="M150"/>
    </row>
    <row r="151" spans="13:13">
      <c r="M151"/>
    </row>
    <row r="152" spans="13:13">
      <c r="M152"/>
    </row>
    <row r="153" spans="13:13">
      <c r="M153"/>
    </row>
    <row r="154" spans="13:13">
      <c r="M154"/>
    </row>
    <row r="155" spans="13:13">
      <c r="M155"/>
    </row>
    <row r="156" spans="13:13">
      <c r="M156"/>
    </row>
    <row r="157" spans="13:13">
      <c r="M157"/>
    </row>
    <row r="158" spans="13:13">
      <c r="M158"/>
    </row>
    <row r="159" spans="13:13">
      <c r="M159"/>
    </row>
    <row r="160" spans="13:13">
      <c r="M160"/>
    </row>
    <row r="161" spans="13:13">
      <c r="M161"/>
    </row>
    <row r="162" spans="13:13">
      <c r="M162"/>
    </row>
    <row r="163" spans="13:13">
      <c r="M163"/>
    </row>
    <row r="164" spans="13:13">
      <c r="M164"/>
    </row>
    <row r="165" spans="13:13">
      <c r="M165"/>
    </row>
    <row r="166" spans="13:13">
      <c r="M166"/>
    </row>
    <row r="167" spans="13:13">
      <c r="M167"/>
    </row>
    <row r="168" spans="13:13">
      <c r="M168"/>
    </row>
    <row r="169" spans="13:13">
      <c r="M169"/>
    </row>
    <row r="170" spans="13:13">
      <c r="M170"/>
    </row>
    <row r="171" spans="13:13">
      <c r="M171"/>
    </row>
    <row r="172" spans="13:13">
      <c r="M172"/>
    </row>
    <row r="173" spans="13:13">
      <c r="M173"/>
    </row>
    <row r="174" spans="13:13">
      <c r="M174"/>
    </row>
    <row r="175" spans="13:13">
      <c r="M175"/>
    </row>
    <row r="176" spans="13:13">
      <c r="M176"/>
    </row>
    <row r="177" spans="13:13">
      <c r="M177"/>
    </row>
    <row r="178" spans="13:13">
      <c r="M178"/>
    </row>
    <row r="179" spans="13:13">
      <c r="M179"/>
    </row>
    <row r="180" spans="13:13">
      <c r="M180"/>
    </row>
    <row r="181" spans="13:13">
      <c r="M181"/>
    </row>
    <row r="182" spans="13:13">
      <c r="M182"/>
    </row>
    <row r="183" spans="13:13">
      <c r="M183"/>
    </row>
    <row r="184" spans="13:13">
      <c r="M184"/>
    </row>
    <row r="185" spans="13:13">
      <c r="M185"/>
    </row>
    <row r="186" spans="13:13">
      <c r="M186"/>
    </row>
    <row r="187" spans="13:13">
      <c r="M187"/>
    </row>
    <row r="188" spans="13:13">
      <c r="M188"/>
    </row>
    <row r="189" spans="13:13">
      <c r="M189"/>
    </row>
    <row r="190" spans="13:13">
      <c r="M190"/>
    </row>
    <row r="191" spans="13:13">
      <c r="M191"/>
    </row>
    <row r="192" spans="13:13">
      <c r="M192"/>
    </row>
    <row r="193" spans="13:13">
      <c r="M193"/>
    </row>
    <row r="194" spans="13:13">
      <c r="M194"/>
    </row>
    <row r="195" spans="13:13">
      <c r="M195"/>
    </row>
    <row r="196" spans="13:13">
      <c r="M196"/>
    </row>
    <row r="197" spans="13:13">
      <c r="M197"/>
    </row>
    <row r="198" spans="13:13">
      <c r="M198"/>
    </row>
    <row r="199" spans="13:13">
      <c r="M199"/>
    </row>
    <row r="200" spans="13:13">
      <c r="M200"/>
    </row>
    <row r="201" spans="13:13">
      <c r="M201"/>
    </row>
    <row r="202" spans="13:13">
      <c r="M202"/>
    </row>
    <row r="203" spans="13:13">
      <c r="M203"/>
    </row>
    <row r="204" spans="13:13">
      <c r="M204"/>
    </row>
    <row r="205" spans="13:13">
      <c r="M205"/>
    </row>
    <row r="206" spans="13:13">
      <c r="M206"/>
    </row>
    <row r="207" spans="13:13">
      <c r="M207"/>
    </row>
    <row r="208" spans="13:13">
      <c r="M208"/>
    </row>
    <row r="209" spans="13:13">
      <c r="M209"/>
    </row>
    <row r="210" spans="13:13">
      <c r="M210"/>
    </row>
    <row r="211" spans="13:13">
      <c r="M211"/>
    </row>
    <row r="212" spans="13:13">
      <c r="M212"/>
    </row>
    <row r="213" spans="13:13">
      <c r="M213"/>
    </row>
    <row r="214" spans="13:13">
      <c r="M214"/>
    </row>
    <row r="215" spans="13:13">
      <c r="M215"/>
    </row>
    <row r="216" spans="13:13">
      <c r="M216"/>
    </row>
    <row r="217" spans="13:13">
      <c r="M217"/>
    </row>
    <row r="218" spans="13:13">
      <c r="M218"/>
    </row>
    <row r="219" spans="13:13">
      <c r="M219"/>
    </row>
    <row r="220" spans="13:13">
      <c r="M220"/>
    </row>
    <row r="221" spans="13:13">
      <c r="M221"/>
    </row>
    <row r="222" spans="13:13">
      <c r="M222"/>
    </row>
    <row r="223" spans="13:13">
      <c r="M223"/>
    </row>
    <row r="224" spans="13:13">
      <c r="M224"/>
    </row>
    <row r="225" spans="13:13">
      <c r="M225"/>
    </row>
    <row r="226" spans="13:13">
      <c r="M226"/>
    </row>
    <row r="227" spans="13:13">
      <c r="M227"/>
    </row>
    <row r="228" spans="13:13">
      <c r="M228"/>
    </row>
    <row r="229" spans="13:13">
      <c r="M229"/>
    </row>
    <row r="230" spans="13:13">
      <c r="M230"/>
    </row>
    <row r="231" spans="13:13">
      <c r="M231"/>
    </row>
    <row r="232" spans="13:13">
      <c r="M232"/>
    </row>
    <row r="233" spans="13:13">
      <c r="M233"/>
    </row>
    <row r="234" spans="13:13">
      <c r="M234"/>
    </row>
    <row r="235" spans="13:13">
      <c r="M235"/>
    </row>
    <row r="236" spans="13:13">
      <c r="M236"/>
    </row>
    <row r="237" spans="13:13">
      <c r="M237"/>
    </row>
    <row r="238" spans="13:13">
      <c r="M238"/>
    </row>
    <row r="239" spans="13:13">
      <c r="M239"/>
    </row>
    <row r="240" spans="13:13">
      <c r="M240"/>
    </row>
    <row r="241" spans="13:13">
      <c r="M241"/>
    </row>
    <row r="242" spans="13:13">
      <c r="M242"/>
    </row>
    <row r="243" spans="13:13">
      <c r="M243"/>
    </row>
    <row r="244" spans="13:13">
      <c r="M244"/>
    </row>
    <row r="245" spans="13:13">
      <c r="M245"/>
    </row>
    <row r="246" spans="13:13">
      <c r="M246"/>
    </row>
    <row r="247" spans="13:13">
      <c r="M247"/>
    </row>
    <row r="248" spans="13:13">
      <c r="M248"/>
    </row>
    <row r="249" spans="13:13">
      <c r="M249"/>
    </row>
    <row r="250" spans="13:13">
      <c r="M250"/>
    </row>
    <row r="251" spans="13:13">
      <c r="M251"/>
    </row>
    <row r="252" spans="13:13">
      <c r="M252"/>
    </row>
    <row r="253" spans="13:13">
      <c r="M253"/>
    </row>
    <row r="254" spans="13:13">
      <c r="M254"/>
    </row>
    <row r="255" spans="13:13">
      <c r="M255"/>
    </row>
    <row r="256" spans="13:13">
      <c r="M256"/>
    </row>
    <row r="257" spans="13:13">
      <c r="M257"/>
    </row>
    <row r="258" spans="13:13">
      <c r="M258"/>
    </row>
    <row r="259" spans="13:13">
      <c r="M259"/>
    </row>
    <row r="260" spans="13:13">
      <c r="M260"/>
    </row>
    <row r="261" spans="13:13">
      <c r="M261"/>
    </row>
    <row r="262" spans="13:13">
      <c r="M262"/>
    </row>
    <row r="263" spans="13:13">
      <c r="M263"/>
    </row>
    <row r="264" spans="13:13">
      <c r="M264"/>
    </row>
    <row r="265" spans="13:13">
      <c r="M265"/>
    </row>
    <row r="266" spans="13:13">
      <c r="M266"/>
    </row>
    <row r="267" spans="13:13">
      <c r="M267"/>
    </row>
    <row r="268" spans="13:13">
      <c r="M268"/>
    </row>
    <row r="269" spans="13:13">
      <c r="M269"/>
    </row>
    <row r="270" spans="13:13">
      <c r="M270"/>
    </row>
    <row r="271" spans="13:13">
      <c r="M271"/>
    </row>
    <row r="272" spans="13:13">
      <c r="M272"/>
    </row>
    <row r="273" spans="13:13">
      <c r="M273"/>
    </row>
    <row r="274" spans="13:13">
      <c r="M274"/>
    </row>
    <row r="275" spans="13:13">
      <c r="M275"/>
    </row>
    <row r="276" spans="13:13">
      <c r="M276"/>
    </row>
    <row r="277" spans="13:13">
      <c r="M277"/>
    </row>
    <row r="278" spans="13:13">
      <c r="M278"/>
    </row>
    <row r="279" spans="13:13">
      <c r="M279"/>
    </row>
    <row r="280" spans="13:13">
      <c r="M280"/>
    </row>
    <row r="281" spans="13:13">
      <c r="M281"/>
    </row>
    <row r="282" spans="13:13">
      <c r="M282"/>
    </row>
    <row r="283" spans="13:13">
      <c r="M283"/>
    </row>
    <row r="284" spans="13:13">
      <c r="M284"/>
    </row>
    <row r="285" spans="13:13">
      <c r="M285"/>
    </row>
    <row r="286" spans="13:13">
      <c r="M286"/>
    </row>
    <row r="287" spans="13:13">
      <c r="M287"/>
    </row>
    <row r="288" spans="13:13">
      <c r="M288"/>
    </row>
    <row r="289" spans="13:13">
      <c r="M289"/>
    </row>
    <row r="290" spans="13:13">
      <c r="M290"/>
    </row>
    <row r="291" spans="13:13">
      <c r="M291"/>
    </row>
    <row r="292" spans="13:13">
      <c r="M292"/>
    </row>
    <row r="293" spans="13:13">
      <c r="M293"/>
    </row>
    <row r="294" spans="13:13">
      <c r="M294"/>
    </row>
    <row r="295" spans="13:13">
      <c r="M295"/>
    </row>
    <row r="296" spans="13:13">
      <c r="M296"/>
    </row>
    <row r="297" spans="13:13">
      <c r="M297"/>
    </row>
    <row r="298" spans="13:13">
      <c r="M298"/>
    </row>
    <row r="299" spans="13:13">
      <c r="M299"/>
    </row>
    <row r="300" spans="13:13">
      <c r="M300"/>
    </row>
    <row r="301" spans="13:13">
      <c r="M301"/>
    </row>
    <row r="302" spans="13:13">
      <c r="M302"/>
    </row>
    <row r="303" spans="13:13">
      <c r="M303"/>
    </row>
    <row r="304" spans="13:13">
      <c r="M304"/>
    </row>
    <row r="305" spans="13:13">
      <c r="M305"/>
    </row>
    <row r="306" spans="13:13">
      <c r="M306"/>
    </row>
    <row r="307" spans="13:13">
      <c r="M307"/>
    </row>
    <row r="308" spans="13:13">
      <c r="M308"/>
    </row>
    <row r="309" spans="13:13">
      <c r="M309"/>
    </row>
    <row r="310" spans="13:13">
      <c r="M310"/>
    </row>
    <row r="311" spans="13:13">
      <c r="M311"/>
    </row>
    <row r="312" spans="13:13">
      <c r="M312"/>
    </row>
    <row r="313" spans="13:13">
      <c r="M313"/>
    </row>
    <row r="314" spans="13:13">
      <c r="M314"/>
    </row>
    <row r="315" spans="13:13">
      <c r="M315"/>
    </row>
    <row r="316" spans="13:13">
      <c r="M316"/>
    </row>
    <row r="317" spans="13:13">
      <c r="M317"/>
    </row>
    <row r="318" spans="13:13">
      <c r="M318"/>
    </row>
    <row r="319" spans="13:13">
      <c r="M319"/>
    </row>
    <row r="320" spans="13:13">
      <c r="M320"/>
    </row>
    <row r="321" spans="13:13">
      <c r="M321"/>
    </row>
    <row r="322" spans="13:13">
      <c r="M322"/>
    </row>
    <row r="323" spans="13:13">
      <c r="M323"/>
    </row>
    <row r="324" spans="13:13">
      <c r="M324"/>
    </row>
    <row r="325" spans="13:13">
      <c r="M325"/>
    </row>
    <row r="326" spans="13:13">
      <c r="M326"/>
    </row>
    <row r="327" spans="13:13">
      <c r="M327"/>
    </row>
    <row r="328" spans="13:13">
      <c r="M328"/>
    </row>
    <row r="329" spans="13:13">
      <c r="M329"/>
    </row>
    <row r="330" spans="13:13">
      <c r="M330"/>
    </row>
    <row r="331" spans="13:13">
      <c r="M331"/>
    </row>
    <row r="332" spans="13:13">
      <c r="M332"/>
    </row>
    <row r="333" spans="13:13">
      <c r="M333"/>
    </row>
    <row r="334" spans="13:13">
      <c r="M334"/>
    </row>
    <row r="335" spans="13:13">
      <c r="M335"/>
    </row>
    <row r="336" spans="13:13">
      <c r="M336"/>
    </row>
    <row r="337" spans="13:13">
      <c r="M337"/>
    </row>
    <row r="338" spans="13:13">
      <c r="M338"/>
    </row>
    <row r="339" spans="13:13">
      <c r="M339"/>
    </row>
    <row r="340" spans="13:13">
      <c r="M340"/>
    </row>
    <row r="341" spans="13:13">
      <c r="M341"/>
    </row>
    <row r="342" spans="13:13">
      <c r="M342"/>
    </row>
    <row r="343" spans="13:13">
      <c r="M343"/>
    </row>
    <row r="344" spans="13:13">
      <c r="M344"/>
    </row>
    <row r="345" spans="13:13">
      <c r="M345"/>
    </row>
    <row r="346" spans="13:13">
      <c r="M346"/>
    </row>
    <row r="347" spans="13:13">
      <c r="M347"/>
    </row>
    <row r="348" spans="13:13">
      <c r="M348"/>
    </row>
    <row r="349" spans="13:13">
      <c r="M349"/>
    </row>
    <row r="350" spans="13:13">
      <c r="M350"/>
    </row>
    <row r="351" spans="13:13">
      <c r="M351"/>
    </row>
    <row r="352" spans="13:13">
      <c r="M352"/>
    </row>
    <row r="353" spans="13:13">
      <c r="M353"/>
    </row>
    <row r="354" spans="13:13">
      <c r="M354"/>
    </row>
    <row r="355" spans="13:13">
      <c r="M355"/>
    </row>
    <row r="356" spans="13:13">
      <c r="M356"/>
    </row>
    <row r="357" spans="13:13">
      <c r="M357"/>
    </row>
    <row r="358" spans="13:13">
      <c r="M358"/>
    </row>
    <row r="359" spans="13:13">
      <c r="M359"/>
    </row>
    <row r="360" spans="13:13">
      <c r="M360"/>
    </row>
    <row r="361" spans="13:13">
      <c r="M361"/>
    </row>
    <row r="362" spans="13:13">
      <c r="M362"/>
    </row>
    <row r="363" spans="13:13">
      <c r="M363"/>
    </row>
    <row r="364" spans="13:13">
      <c r="M364"/>
    </row>
    <row r="365" spans="13:13">
      <c r="M365"/>
    </row>
    <row r="366" spans="13:13">
      <c r="M366"/>
    </row>
    <row r="367" spans="13:13">
      <c r="M367"/>
    </row>
    <row r="368" spans="13:13">
      <c r="M368"/>
    </row>
    <row r="369" spans="13:13">
      <c r="M369"/>
    </row>
    <row r="370" spans="13:13">
      <c r="M370"/>
    </row>
    <row r="371" spans="13:13">
      <c r="M371"/>
    </row>
    <row r="372" spans="13:13">
      <c r="M372"/>
    </row>
    <row r="373" spans="13:13">
      <c r="M373"/>
    </row>
    <row r="374" spans="13:13">
      <c r="M374"/>
    </row>
    <row r="375" spans="13:13">
      <c r="M375"/>
    </row>
    <row r="376" spans="13:13">
      <c r="M376"/>
    </row>
    <row r="377" spans="13:13">
      <c r="M377"/>
    </row>
    <row r="378" spans="13:13">
      <c r="M378"/>
    </row>
    <row r="379" spans="13:13">
      <c r="M379"/>
    </row>
    <row r="380" spans="13:13">
      <c r="M380"/>
    </row>
    <row r="381" spans="13:13">
      <c r="M381"/>
    </row>
    <row r="382" spans="13:13">
      <c r="M382"/>
    </row>
    <row r="383" spans="13:13">
      <c r="M383"/>
    </row>
    <row r="384" spans="13:13">
      <c r="M384"/>
    </row>
    <row r="385" spans="13:13">
      <c r="M385"/>
    </row>
    <row r="386" spans="13:13">
      <c r="M386"/>
    </row>
    <row r="387" spans="13:13">
      <c r="M387"/>
    </row>
    <row r="388" spans="13:13">
      <c r="M388"/>
    </row>
    <row r="389" spans="13:13">
      <c r="M389"/>
    </row>
    <row r="390" spans="13:13">
      <c r="M390"/>
    </row>
    <row r="391" spans="13:13">
      <c r="M391"/>
    </row>
    <row r="392" spans="13:13">
      <c r="M392"/>
    </row>
    <row r="393" spans="13:13">
      <c r="M393"/>
    </row>
    <row r="394" spans="13:13">
      <c r="M394"/>
    </row>
    <row r="395" spans="13:13">
      <c r="M395"/>
    </row>
    <row r="396" spans="13:13">
      <c r="M396"/>
    </row>
    <row r="397" spans="13:13">
      <c r="M397"/>
    </row>
    <row r="398" spans="13:13">
      <c r="M398"/>
    </row>
    <row r="399" spans="13:13">
      <c r="M399"/>
    </row>
    <row r="400" spans="13:13">
      <c r="M400"/>
    </row>
    <row r="401" spans="13:13">
      <c r="M401"/>
    </row>
    <row r="402" spans="13:13">
      <c r="M402"/>
    </row>
    <row r="403" spans="13:13">
      <c r="M403"/>
    </row>
    <row r="404" spans="13:13">
      <c r="M404"/>
    </row>
    <row r="405" spans="13:13">
      <c r="M405"/>
    </row>
    <row r="406" spans="13:13">
      <c r="M406"/>
    </row>
    <row r="407" spans="13:13">
      <c r="M407"/>
    </row>
    <row r="408" spans="13:13">
      <c r="M408"/>
    </row>
    <row r="409" spans="13:13">
      <c r="M409"/>
    </row>
    <row r="410" spans="13:13">
      <c r="M410"/>
    </row>
    <row r="411" spans="13:13">
      <c r="M411"/>
    </row>
    <row r="412" spans="13:13">
      <c r="M412"/>
    </row>
    <row r="413" spans="13:13">
      <c r="M413"/>
    </row>
    <row r="414" spans="13:13">
      <c r="M414"/>
    </row>
    <row r="415" spans="13:13">
      <c r="M415"/>
    </row>
    <row r="416" spans="13:13">
      <c r="M416"/>
    </row>
    <row r="417" spans="13:13">
      <c r="M417"/>
    </row>
    <row r="418" spans="13:13">
      <c r="M418"/>
    </row>
    <row r="419" spans="13:13">
      <c r="M419"/>
    </row>
    <row r="420" spans="13:13">
      <c r="M420"/>
    </row>
    <row r="421" spans="13:13">
      <c r="M421"/>
    </row>
    <row r="422" spans="13:13">
      <c r="M422"/>
    </row>
    <row r="423" spans="13:13">
      <c r="M423"/>
    </row>
    <row r="424" spans="13:13">
      <c r="M424"/>
    </row>
    <row r="425" spans="13:13">
      <c r="M425"/>
    </row>
    <row r="426" spans="13:13">
      <c r="M426"/>
    </row>
    <row r="427" spans="13:13">
      <c r="M427"/>
    </row>
    <row r="428" spans="13:13">
      <c r="M428"/>
    </row>
    <row r="429" spans="13:13">
      <c r="M429"/>
    </row>
    <row r="430" spans="13:13">
      <c r="M430"/>
    </row>
    <row r="431" spans="13:13">
      <c r="M431"/>
    </row>
    <row r="432" spans="13:13">
      <c r="M432"/>
    </row>
    <row r="433" spans="13:13">
      <c r="M433"/>
    </row>
    <row r="434" spans="13:13">
      <c r="M434"/>
    </row>
    <row r="435" spans="13:13">
      <c r="M435"/>
    </row>
    <row r="436" spans="13:13">
      <c r="M436"/>
    </row>
    <row r="437" spans="13:13">
      <c r="M437"/>
    </row>
    <row r="438" spans="13:13">
      <c r="M438"/>
    </row>
    <row r="439" spans="13:13">
      <c r="M439"/>
    </row>
    <row r="440" spans="13:13">
      <c r="M440"/>
    </row>
    <row r="441" spans="13:13">
      <c r="M441"/>
    </row>
    <row r="442" spans="13:13">
      <c r="M442"/>
    </row>
    <row r="443" spans="13:13">
      <c r="M443"/>
    </row>
    <row r="444" spans="13:13">
      <c r="M444"/>
    </row>
    <row r="445" spans="13:13">
      <c r="M445"/>
    </row>
    <row r="446" spans="13:13">
      <c r="M446"/>
    </row>
    <row r="447" spans="13:13">
      <c r="M447"/>
    </row>
    <row r="448" spans="13:13">
      <c r="M448"/>
    </row>
    <row r="449" spans="13:13">
      <c r="M449"/>
    </row>
    <row r="450" spans="13:13">
      <c r="M450"/>
    </row>
    <row r="451" spans="13:13">
      <c r="M451"/>
    </row>
    <row r="452" spans="13:13">
      <c r="M452"/>
    </row>
    <row r="453" spans="13:13">
      <c r="M453"/>
    </row>
    <row r="454" spans="13:13">
      <c r="M454"/>
    </row>
    <row r="455" spans="13:13">
      <c r="M455"/>
    </row>
    <row r="456" spans="13:13">
      <c r="M456"/>
    </row>
    <row r="457" spans="13:13">
      <c r="M457"/>
    </row>
    <row r="458" spans="13:13">
      <c r="M458"/>
    </row>
    <row r="459" spans="13:13">
      <c r="M459"/>
    </row>
    <row r="460" spans="13:13">
      <c r="M460"/>
    </row>
    <row r="461" spans="13:13">
      <c r="M461"/>
    </row>
    <row r="462" spans="13:13">
      <c r="M462"/>
    </row>
    <row r="463" spans="13:13">
      <c r="M463"/>
    </row>
    <row r="464" spans="13:13">
      <c r="M464"/>
    </row>
    <row r="465" spans="13:13">
      <c r="M465"/>
    </row>
    <row r="466" spans="13:13">
      <c r="M466"/>
    </row>
    <row r="467" spans="13:13">
      <c r="M467"/>
    </row>
    <row r="468" spans="13:13">
      <c r="M468"/>
    </row>
    <row r="469" spans="13:13">
      <c r="M469"/>
    </row>
    <row r="470" spans="13:13">
      <c r="M470"/>
    </row>
    <row r="471" spans="13:13">
      <c r="M471"/>
    </row>
    <row r="472" spans="13:13">
      <c r="M472"/>
    </row>
    <row r="473" spans="13:13">
      <c r="M473"/>
    </row>
    <row r="474" spans="13:13">
      <c r="M474"/>
    </row>
    <row r="475" spans="13:13">
      <c r="M475"/>
    </row>
    <row r="476" spans="13:13">
      <c r="M476"/>
    </row>
    <row r="477" spans="13:13">
      <c r="M477"/>
    </row>
    <row r="478" spans="13:13">
      <c r="M478"/>
    </row>
    <row r="479" spans="13:13">
      <c r="M479"/>
    </row>
    <row r="480" spans="13:13">
      <c r="M480"/>
    </row>
    <row r="481" spans="13:13">
      <c r="M481"/>
    </row>
    <row r="482" spans="13:13">
      <c r="M482"/>
    </row>
    <row r="483" spans="13:13">
      <c r="M483"/>
    </row>
    <row r="484" spans="13:13">
      <c r="M484"/>
    </row>
    <row r="485" spans="13:13">
      <c r="M485"/>
    </row>
    <row r="486" spans="13:13">
      <c r="M486"/>
    </row>
    <row r="487" spans="13:13">
      <c r="M487"/>
    </row>
    <row r="488" spans="13:13">
      <c r="M488"/>
    </row>
    <row r="489" spans="13:13">
      <c r="M489"/>
    </row>
    <row r="490" spans="13:13">
      <c r="M490"/>
    </row>
    <row r="491" spans="13:13">
      <c r="M491"/>
    </row>
    <row r="492" spans="13:13">
      <c r="M492"/>
    </row>
    <row r="493" spans="13:13">
      <c r="M493"/>
    </row>
    <row r="494" spans="13:13">
      <c r="M494"/>
    </row>
    <row r="495" spans="13:13">
      <c r="M495"/>
    </row>
    <row r="496" spans="13:13">
      <c r="M496"/>
    </row>
    <row r="497" spans="13:13">
      <c r="M497"/>
    </row>
    <row r="498" spans="13:13">
      <c r="M498"/>
    </row>
    <row r="499" spans="13:13">
      <c r="M499"/>
    </row>
    <row r="500" spans="13:13">
      <c r="M500"/>
    </row>
    <row r="501" spans="13:13">
      <c r="M501"/>
    </row>
    <row r="502" spans="13:13">
      <c r="M502"/>
    </row>
    <row r="503" spans="13:13">
      <c r="M503"/>
    </row>
    <row r="504" spans="13:13">
      <c r="M504"/>
    </row>
    <row r="505" spans="13:13">
      <c r="M505"/>
    </row>
    <row r="506" spans="13:13">
      <c r="M506"/>
    </row>
    <row r="507" spans="13:13">
      <c r="M507"/>
    </row>
    <row r="508" spans="13:13">
      <c r="M508"/>
    </row>
    <row r="509" spans="13:13">
      <c r="M509"/>
    </row>
    <row r="510" spans="13:13">
      <c r="M510"/>
    </row>
    <row r="511" spans="13:13">
      <c r="M511"/>
    </row>
    <row r="512" spans="13:13">
      <c r="M512"/>
    </row>
    <row r="513" spans="13:13">
      <c r="M513"/>
    </row>
    <row r="514" spans="13:13">
      <c r="M514"/>
    </row>
    <row r="515" spans="13:13">
      <c r="M515"/>
    </row>
    <row r="516" spans="13:13">
      <c r="M516"/>
    </row>
    <row r="517" spans="13:13">
      <c r="M517"/>
    </row>
    <row r="518" spans="13:13">
      <c r="M518"/>
    </row>
    <row r="519" spans="13:13">
      <c r="M519"/>
    </row>
    <row r="520" spans="13:13">
      <c r="M520"/>
    </row>
    <row r="521" spans="13:13">
      <c r="M521"/>
    </row>
    <row r="522" spans="13:13">
      <c r="M522"/>
    </row>
    <row r="523" spans="13:13">
      <c r="M523"/>
    </row>
    <row r="524" spans="13:13">
      <c r="M524"/>
    </row>
    <row r="525" spans="13:13">
      <c r="M525"/>
    </row>
    <row r="526" spans="13:13">
      <c r="M526"/>
    </row>
    <row r="527" spans="13:13">
      <c r="M527"/>
    </row>
    <row r="528" spans="13:13">
      <c r="M528"/>
    </row>
    <row r="529" spans="13:13">
      <c r="M529"/>
    </row>
    <row r="530" spans="13:13">
      <c r="M530"/>
    </row>
    <row r="531" spans="13:13">
      <c r="M531"/>
    </row>
    <row r="532" spans="13:13">
      <c r="M532"/>
    </row>
    <row r="533" spans="13:13">
      <c r="M533"/>
    </row>
    <row r="534" spans="13:13">
      <c r="M534"/>
    </row>
    <row r="535" spans="13:13">
      <c r="M535"/>
    </row>
    <row r="536" spans="13:13">
      <c r="M536"/>
    </row>
    <row r="537" spans="13:13">
      <c r="M537"/>
    </row>
    <row r="538" spans="13:13">
      <c r="M538"/>
    </row>
    <row r="539" spans="13:13">
      <c r="M539"/>
    </row>
    <row r="540" spans="13:13">
      <c r="M540"/>
    </row>
    <row r="541" spans="13:13">
      <c r="M541"/>
    </row>
    <row r="542" spans="13:13">
      <c r="M542"/>
    </row>
    <row r="543" spans="13:13">
      <c r="M543"/>
    </row>
    <row r="544" spans="13:13">
      <c r="M544"/>
    </row>
    <row r="545" spans="13:13">
      <c r="M545"/>
    </row>
    <row r="546" spans="13:13">
      <c r="M546"/>
    </row>
    <row r="547" spans="13:13">
      <c r="M547"/>
    </row>
    <row r="548" spans="13:13">
      <c r="M548"/>
    </row>
    <row r="549" spans="13:13">
      <c r="M549"/>
    </row>
    <row r="550" spans="13:13">
      <c r="M550"/>
    </row>
    <row r="551" spans="13:13">
      <c r="M551"/>
    </row>
    <row r="552" spans="13:13">
      <c r="M552"/>
    </row>
    <row r="553" spans="13:13">
      <c r="M553"/>
    </row>
    <row r="554" spans="13:13">
      <c r="M554"/>
    </row>
    <row r="555" spans="13:13">
      <c r="M555"/>
    </row>
    <row r="556" spans="13:13">
      <c r="M556"/>
    </row>
    <row r="557" spans="13:13">
      <c r="M557"/>
    </row>
    <row r="558" spans="13:13">
      <c r="M558"/>
    </row>
    <row r="559" spans="13:13">
      <c r="M559"/>
    </row>
    <row r="560" spans="13:13">
      <c r="M560"/>
    </row>
    <row r="561" spans="13:13">
      <c r="M561"/>
    </row>
    <row r="562" spans="13:13">
      <c r="M562"/>
    </row>
    <row r="563" spans="13:13">
      <c r="M563"/>
    </row>
    <row r="564" spans="13:13">
      <c r="M564"/>
    </row>
    <row r="565" spans="13:13">
      <c r="M565"/>
    </row>
    <row r="566" spans="13:13">
      <c r="M566"/>
    </row>
    <row r="567" spans="13:13">
      <c r="M567"/>
    </row>
    <row r="568" spans="13:13">
      <c r="M568"/>
    </row>
    <row r="569" spans="13:13">
      <c r="M569"/>
    </row>
    <row r="570" spans="13:13">
      <c r="M570"/>
    </row>
    <row r="571" spans="13:13">
      <c r="M571"/>
    </row>
    <row r="572" spans="13:13">
      <c r="M572"/>
    </row>
    <row r="573" spans="13:13">
      <c r="M573"/>
    </row>
    <row r="574" spans="13:13">
      <c r="M574"/>
    </row>
    <row r="575" spans="13:13">
      <c r="M575"/>
    </row>
    <row r="576" spans="13:13">
      <c r="M576"/>
    </row>
    <row r="577" spans="13:13">
      <c r="M577"/>
    </row>
    <row r="578" spans="13:13">
      <c r="M578"/>
    </row>
    <row r="579" spans="13:13">
      <c r="M579"/>
    </row>
    <row r="580" spans="13:13">
      <c r="M580"/>
    </row>
    <row r="581" spans="13:13">
      <c r="M581"/>
    </row>
    <row r="582" spans="13:13">
      <c r="M582"/>
    </row>
    <row r="583" spans="13:13">
      <c r="M583"/>
    </row>
    <row r="584" spans="13:13">
      <c r="M584"/>
    </row>
    <row r="585" spans="13:13">
      <c r="M585"/>
    </row>
    <row r="586" spans="13:13">
      <c r="M586"/>
    </row>
    <row r="587" spans="13:13">
      <c r="M587"/>
    </row>
    <row r="588" spans="13:13">
      <c r="M588"/>
    </row>
    <row r="589" spans="13:13">
      <c r="M589"/>
    </row>
    <row r="590" spans="13:13">
      <c r="M590"/>
    </row>
    <row r="591" spans="13:13">
      <c r="M591"/>
    </row>
    <row r="592" spans="13:13">
      <c r="M592"/>
    </row>
    <row r="593" spans="13:13">
      <c r="M593"/>
    </row>
    <row r="594" spans="13:13">
      <c r="M594"/>
    </row>
    <row r="595" spans="13:13">
      <c r="M595"/>
    </row>
    <row r="596" spans="13:13">
      <c r="M596"/>
    </row>
    <row r="597" spans="13:13">
      <c r="M597"/>
    </row>
    <row r="598" spans="13:13">
      <c r="M598"/>
    </row>
    <row r="599" spans="13:13">
      <c r="M599"/>
    </row>
    <row r="600" spans="13:13">
      <c r="M600"/>
    </row>
    <row r="601" spans="13:13">
      <c r="M601"/>
    </row>
    <row r="602" spans="13:13">
      <c r="M602"/>
    </row>
    <row r="603" spans="13:13">
      <c r="M603"/>
    </row>
    <row r="604" spans="13:13">
      <c r="M604"/>
    </row>
    <row r="605" spans="13:13">
      <c r="M605"/>
    </row>
    <row r="606" spans="13:13">
      <c r="M606"/>
    </row>
    <row r="607" spans="13:13">
      <c r="M607"/>
    </row>
    <row r="608" spans="13:13">
      <c r="M608"/>
    </row>
    <row r="609" spans="13:13">
      <c r="M609"/>
    </row>
    <row r="610" spans="13:13">
      <c r="M610"/>
    </row>
    <row r="611" spans="13:13">
      <c r="M611"/>
    </row>
    <row r="612" spans="13:13">
      <c r="M612"/>
    </row>
    <row r="613" spans="13:13">
      <c r="M613"/>
    </row>
    <row r="614" spans="13:13">
      <c r="M614"/>
    </row>
    <row r="615" spans="13:13">
      <c r="M615"/>
    </row>
    <row r="616" spans="13:13">
      <c r="M616"/>
    </row>
    <row r="617" spans="13:13">
      <c r="M617"/>
    </row>
    <row r="618" spans="13:13">
      <c r="M618"/>
    </row>
    <row r="619" spans="13:13">
      <c r="M619"/>
    </row>
    <row r="620" spans="13:13">
      <c r="M620"/>
    </row>
    <row r="621" spans="13:13">
      <c r="M621"/>
    </row>
    <row r="622" spans="13:13">
      <c r="M622"/>
    </row>
    <row r="623" spans="13:13">
      <c r="M623"/>
    </row>
    <row r="624" spans="13:13">
      <c r="M624"/>
    </row>
    <row r="625" spans="13:13">
      <c r="M625"/>
    </row>
    <row r="626" spans="13:13">
      <c r="M626"/>
    </row>
    <row r="627" spans="13:13">
      <c r="M627"/>
    </row>
    <row r="628" spans="13:13">
      <c r="M628"/>
    </row>
    <row r="629" spans="13:13">
      <c r="M629"/>
    </row>
    <row r="630" spans="13:13">
      <c r="M630"/>
    </row>
    <row r="631" spans="13:13">
      <c r="M631"/>
    </row>
    <row r="632" spans="13:13">
      <c r="M632"/>
    </row>
    <row r="633" spans="13:13">
      <c r="M633"/>
    </row>
    <row r="634" spans="13:13">
      <c r="M634"/>
    </row>
    <row r="635" spans="13:13">
      <c r="M635"/>
    </row>
    <row r="636" spans="13:13">
      <c r="M636"/>
    </row>
    <row r="637" spans="13:13">
      <c r="M637"/>
    </row>
    <row r="638" spans="13:13">
      <c r="M638"/>
    </row>
    <row r="639" spans="13:13">
      <c r="M639"/>
    </row>
    <row r="640" spans="13:13">
      <c r="M640"/>
    </row>
    <row r="641" spans="13:13">
      <c r="M641"/>
    </row>
    <row r="642" spans="13:13">
      <c r="M642"/>
    </row>
    <row r="643" spans="13:13">
      <c r="M643"/>
    </row>
    <row r="644" spans="13:13">
      <c r="M644"/>
    </row>
    <row r="645" spans="13:13">
      <c r="M645"/>
    </row>
    <row r="646" spans="13:13">
      <c r="M646"/>
    </row>
    <row r="647" spans="13:13">
      <c r="M647"/>
    </row>
    <row r="648" spans="13:13">
      <c r="M648"/>
    </row>
    <row r="649" spans="13:13">
      <c r="M649"/>
    </row>
    <row r="650" spans="13:13">
      <c r="M650"/>
    </row>
    <row r="651" spans="13:13">
      <c r="M651"/>
    </row>
    <row r="652" spans="13:13">
      <c r="M652"/>
    </row>
    <row r="653" spans="13:13">
      <c r="M653"/>
    </row>
    <row r="654" spans="13:13">
      <c r="M654"/>
    </row>
    <row r="655" spans="13:13">
      <c r="M655"/>
    </row>
    <row r="656" spans="13:13">
      <c r="M656"/>
    </row>
    <row r="657" spans="13:13">
      <c r="M657"/>
    </row>
    <row r="658" spans="13:13">
      <c r="M658"/>
    </row>
    <row r="659" spans="13:13">
      <c r="M659"/>
    </row>
    <row r="660" spans="13:13">
      <c r="M660"/>
    </row>
    <row r="661" spans="13:13">
      <c r="M661"/>
    </row>
    <row r="662" spans="13:13">
      <c r="M662"/>
    </row>
    <row r="663" spans="13:13">
      <c r="M663"/>
    </row>
    <row r="664" spans="13:13">
      <c r="M664"/>
    </row>
    <row r="665" spans="13:13">
      <c r="M665"/>
    </row>
    <row r="666" spans="13:13">
      <c r="M666"/>
    </row>
    <row r="667" spans="13:13">
      <c r="M667"/>
    </row>
    <row r="668" spans="13:13">
      <c r="M668"/>
    </row>
    <row r="669" spans="13:13">
      <c r="M669"/>
    </row>
    <row r="670" spans="13:13">
      <c r="M670"/>
    </row>
    <row r="671" spans="13:13">
      <c r="M671"/>
    </row>
    <row r="672" spans="13:13">
      <c r="M672"/>
    </row>
    <row r="673" spans="13:13">
      <c r="M673"/>
    </row>
    <row r="674" spans="13:13">
      <c r="M674"/>
    </row>
    <row r="675" spans="13:13">
      <c r="M675"/>
    </row>
    <row r="676" spans="13:13">
      <c r="M676"/>
    </row>
    <row r="677" spans="13:13">
      <c r="M677"/>
    </row>
    <row r="678" spans="13:13">
      <c r="M678"/>
    </row>
    <row r="679" spans="13:13">
      <c r="M679"/>
    </row>
    <row r="680" spans="13:13">
      <c r="M680"/>
    </row>
    <row r="681" spans="13:13">
      <c r="M681"/>
    </row>
    <row r="682" spans="13:13">
      <c r="M682"/>
    </row>
    <row r="683" spans="13:13">
      <c r="M683"/>
    </row>
    <row r="684" spans="13:13">
      <c r="M684"/>
    </row>
    <row r="685" spans="13:13">
      <c r="M685"/>
    </row>
    <row r="686" spans="13:13">
      <c r="M686"/>
    </row>
    <row r="687" spans="13:13">
      <c r="M687"/>
    </row>
    <row r="688" spans="13:13">
      <c r="M688"/>
    </row>
    <row r="689" spans="13:13">
      <c r="M689"/>
    </row>
    <row r="690" spans="13:13">
      <c r="M690"/>
    </row>
    <row r="691" spans="13:13">
      <c r="M691"/>
    </row>
    <row r="692" spans="13:13">
      <c r="M692"/>
    </row>
    <row r="693" spans="13:13">
      <c r="M693"/>
    </row>
    <row r="694" spans="13:13">
      <c r="M694"/>
    </row>
    <row r="695" spans="13:13">
      <c r="M695"/>
    </row>
    <row r="696" spans="13:13">
      <c r="M696"/>
    </row>
    <row r="697" spans="13:13">
      <c r="M697"/>
    </row>
    <row r="698" spans="13:13">
      <c r="M698"/>
    </row>
    <row r="699" spans="13:13">
      <c r="M699"/>
    </row>
    <row r="700" spans="13:13">
      <c r="M700"/>
    </row>
    <row r="701" spans="13:13">
      <c r="M701"/>
    </row>
    <row r="702" spans="13:13">
      <c r="M702"/>
    </row>
    <row r="703" spans="13:13">
      <c r="M703"/>
    </row>
    <row r="704" spans="13:13">
      <c r="M704"/>
    </row>
    <row r="705" spans="13:13">
      <c r="M705"/>
    </row>
    <row r="706" spans="13:13">
      <c r="M706"/>
    </row>
    <row r="707" spans="13:13">
      <c r="M707"/>
    </row>
    <row r="708" spans="13:13">
      <c r="M708"/>
    </row>
    <row r="709" spans="13:13">
      <c r="M709"/>
    </row>
    <row r="710" spans="13:13">
      <c r="M710"/>
    </row>
    <row r="711" spans="13:13">
      <c r="M711"/>
    </row>
    <row r="712" spans="13:13">
      <c r="M712"/>
    </row>
    <row r="713" spans="13:13">
      <c r="M713"/>
    </row>
    <row r="714" spans="13:13">
      <c r="M714"/>
    </row>
    <row r="715" spans="13:13">
      <c r="M715"/>
    </row>
    <row r="716" spans="13:13">
      <c r="M716"/>
    </row>
    <row r="717" spans="13:13">
      <c r="M717"/>
    </row>
    <row r="718" spans="13:13">
      <c r="M718"/>
    </row>
    <row r="719" spans="13:13">
      <c r="M719"/>
    </row>
    <row r="720" spans="13:13">
      <c r="M720"/>
    </row>
    <row r="721" spans="13:13">
      <c r="M721"/>
    </row>
    <row r="722" spans="13:13">
      <c r="M722"/>
    </row>
    <row r="723" spans="13:13">
      <c r="M723"/>
    </row>
    <row r="724" spans="13:13">
      <c r="M724"/>
    </row>
    <row r="725" spans="13:13">
      <c r="M725"/>
    </row>
    <row r="726" spans="13:13">
      <c r="M726"/>
    </row>
    <row r="727" spans="13:13">
      <c r="M727"/>
    </row>
    <row r="728" spans="13:13">
      <c r="M728"/>
    </row>
    <row r="729" spans="13:13">
      <c r="M729"/>
    </row>
    <row r="730" spans="13:13">
      <c r="M730"/>
    </row>
    <row r="731" spans="13:13">
      <c r="M731"/>
    </row>
    <row r="732" spans="13:13">
      <c r="M732"/>
    </row>
    <row r="733" spans="13:13">
      <c r="M733"/>
    </row>
    <row r="734" spans="13:13">
      <c r="M734"/>
    </row>
    <row r="735" spans="13:13">
      <c r="M735"/>
    </row>
    <row r="736" spans="13:13">
      <c r="M736"/>
    </row>
    <row r="737" spans="13:13">
      <c r="M737"/>
    </row>
    <row r="738" spans="13:13">
      <c r="M738"/>
    </row>
    <row r="739" spans="13:13">
      <c r="M739"/>
    </row>
    <row r="740" spans="13:13">
      <c r="M740"/>
    </row>
    <row r="741" spans="13:13">
      <c r="M741"/>
    </row>
    <row r="742" spans="13:13">
      <c r="M742"/>
    </row>
    <row r="743" spans="13:13">
      <c r="M743"/>
    </row>
    <row r="744" spans="13:13">
      <c r="M744"/>
    </row>
    <row r="745" spans="13:13">
      <c r="M745"/>
    </row>
    <row r="746" spans="13:13">
      <c r="M746"/>
    </row>
    <row r="747" spans="13:13">
      <c r="M747"/>
    </row>
    <row r="748" spans="13:13">
      <c r="M748"/>
    </row>
    <row r="749" spans="13:13">
      <c r="M749"/>
    </row>
    <row r="750" spans="13:13">
      <c r="M750"/>
    </row>
    <row r="751" spans="13:13">
      <c r="M751"/>
    </row>
    <row r="752" spans="13:13">
      <c r="M752"/>
    </row>
    <row r="753" spans="13:13">
      <c r="M753"/>
    </row>
    <row r="754" spans="13:13">
      <c r="M754"/>
    </row>
    <row r="755" spans="13:13">
      <c r="M755"/>
    </row>
    <row r="756" spans="13:13">
      <c r="M756"/>
    </row>
    <row r="757" spans="13:13">
      <c r="M757"/>
    </row>
    <row r="758" spans="13:13">
      <c r="M758"/>
    </row>
    <row r="759" spans="13:13">
      <c r="M759"/>
    </row>
    <row r="760" spans="13:13">
      <c r="M760"/>
    </row>
    <row r="761" spans="13:13">
      <c r="M761"/>
    </row>
    <row r="762" spans="13:13">
      <c r="M762"/>
    </row>
    <row r="763" spans="13:13">
      <c r="M763"/>
    </row>
    <row r="764" spans="13:13">
      <c r="M764"/>
    </row>
    <row r="765" spans="13:13">
      <c r="M765"/>
    </row>
    <row r="766" spans="13:13">
      <c r="M766"/>
    </row>
    <row r="767" spans="13:13">
      <c r="M767"/>
    </row>
    <row r="768" spans="13:13">
      <c r="M768"/>
    </row>
    <row r="769" spans="13:13">
      <c r="M769"/>
    </row>
    <row r="770" spans="13:13">
      <c r="M770"/>
    </row>
    <row r="771" spans="13:13">
      <c r="M771"/>
    </row>
    <row r="772" spans="13:13">
      <c r="M772"/>
    </row>
    <row r="773" spans="13:13">
      <c r="M773"/>
    </row>
    <row r="774" spans="13:13">
      <c r="M774"/>
    </row>
    <row r="775" spans="13:13">
      <c r="M775"/>
    </row>
    <row r="776" spans="13:13">
      <c r="M776"/>
    </row>
    <row r="777" spans="13:13">
      <c r="M777"/>
    </row>
    <row r="778" spans="13:13">
      <c r="M778"/>
    </row>
    <row r="779" spans="13:13">
      <c r="M779"/>
    </row>
    <row r="780" spans="13:13">
      <c r="M780"/>
    </row>
    <row r="781" spans="13:13">
      <c r="M781"/>
    </row>
    <row r="782" spans="13:13">
      <c r="M782"/>
    </row>
    <row r="783" spans="13:13">
      <c r="M783"/>
    </row>
    <row r="784" spans="13:13">
      <c r="M784"/>
    </row>
    <row r="785" spans="13:13">
      <c r="M785"/>
    </row>
    <row r="786" spans="13:13">
      <c r="M786"/>
    </row>
    <row r="787" spans="13:13">
      <c r="M787"/>
    </row>
    <row r="788" spans="13:13">
      <c r="M788"/>
    </row>
    <row r="789" spans="13:13">
      <c r="M789"/>
    </row>
    <row r="790" spans="13:13">
      <c r="M790"/>
    </row>
    <row r="791" spans="13:13">
      <c r="M791"/>
    </row>
    <row r="792" spans="13:13">
      <c r="M792"/>
    </row>
    <row r="793" spans="13:13">
      <c r="M793"/>
    </row>
    <row r="794" spans="13:13">
      <c r="M794"/>
    </row>
    <row r="795" spans="13:13">
      <c r="M795"/>
    </row>
    <row r="796" spans="13:13">
      <c r="M796"/>
    </row>
    <row r="797" spans="13:13">
      <c r="M797"/>
    </row>
    <row r="798" spans="13:13">
      <c r="M798"/>
    </row>
    <row r="799" spans="13:13">
      <c r="M799"/>
    </row>
    <row r="800" spans="13:13">
      <c r="M800"/>
    </row>
    <row r="801" spans="13:13">
      <c r="M801"/>
    </row>
    <row r="802" spans="13:13">
      <c r="M802"/>
    </row>
    <row r="803" spans="13:13">
      <c r="M803"/>
    </row>
    <row r="804" spans="13:13">
      <c r="M804"/>
    </row>
    <row r="805" spans="13:13">
      <c r="M805"/>
    </row>
    <row r="806" spans="13:13">
      <c r="M806"/>
    </row>
    <row r="807" spans="13:13">
      <c r="M807"/>
    </row>
    <row r="808" spans="13:13">
      <c r="M808"/>
    </row>
    <row r="809" spans="13:13">
      <c r="M809"/>
    </row>
    <row r="810" spans="13:13">
      <c r="M810"/>
    </row>
    <row r="811" spans="13:13">
      <c r="M811"/>
    </row>
    <row r="812" spans="13:13">
      <c r="M812"/>
    </row>
    <row r="813" spans="13:13">
      <c r="M813"/>
    </row>
    <row r="814" spans="13:13">
      <c r="M814"/>
    </row>
    <row r="815" spans="13:13">
      <c r="M815"/>
    </row>
    <row r="816" spans="13:13">
      <c r="M816"/>
    </row>
    <row r="817" spans="13:13">
      <c r="M817"/>
    </row>
    <row r="818" spans="13:13">
      <c r="M818"/>
    </row>
    <row r="819" spans="13:13">
      <c r="M819"/>
    </row>
    <row r="820" spans="13:13">
      <c r="M820"/>
    </row>
    <row r="821" spans="13:13">
      <c r="M821"/>
    </row>
    <row r="822" spans="13:13">
      <c r="M822"/>
    </row>
    <row r="823" spans="13:13">
      <c r="M823"/>
    </row>
    <row r="824" spans="13:13">
      <c r="M824"/>
    </row>
    <row r="825" spans="13:13">
      <c r="M825"/>
    </row>
    <row r="826" spans="13:13">
      <c r="M826"/>
    </row>
    <row r="827" spans="13:13">
      <c r="M827"/>
    </row>
    <row r="828" spans="13:13">
      <c r="M828"/>
    </row>
    <row r="829" spans="13:13">
      <c r="M829"/>
    </row>
    <row r="830" spans="13:13">
      <c r="M830"/>
    </row>
    <row r="831" spans="13:13">
      <c r="M831"/>
    </row>
    <row r="832" spans="13:13">
      <c r="M832"/>
    </row>
    <row r="833" spans="13:13">
      <c r="M833"/>
    </row>
    <row r="834" spans="13:13">
      <c r="M834"/>
    </row>
    <row r="835" spans="13:13">
      <c r="M835"/>
    </row>
    <row r="836" spans="13:13">
      <c r="M836"/>
    </row>
    <row r="837" spans="13:13">
      <c r="M837"/>
    </row>
    <row r="838" spans="13:13">
      <c r="M838"/>
    </row>
    <row r="839" spans="13:13">
      <c r="M839"/>
    </row>
    <row r="840" spans="13:13">
      <c r="M840"/>
    </row>
    <row r="841" spans="13:13">
      <c r="M841"/>
    </row>
    <row r="842" spans="13:13">
      <c r="M842"/>
    </row>
    <row r="843" spans="13:13">
      <c r="M843"/>
    </row>
    <row r="844" spans="13:13">
      <c r="M844"/>
    </row>
    <row r="845" spans="13:13">
      <c r="M845"/>
    </row>
    <row r="846" spans="13:13">
      <c r="M846"/>
    </row>
    <row r="847" spans="13:13">
      <c r="M847"/>
    </row>
    <row r="848" spans="13:13">
      <c r="M848"/>
    </row>
    <row r="849" spans="13:13">
      <c r="M849"/>
    </row>
    <row r="850" spans="13:13">
      <c r="M850"/>
    </row>
    <row r="851" spans="13:13">
      <c r="M851"/>
    </row>
    <row r="852" spans="13:13">
      <c r="M852"/>
    </row>
    <row r="853" spans="13:13">
      <c r="M853"/>
    </row>
    <row r="854" spans="13:13">
      <c r="M854"/>
    </row>
    <row r="855" spans="13:13">
      <c r="M855"/>
    </row>
    <row r="856" spans="13:13">
      <c r="M856"/>
    </row>
    <row r="857" spans="13:13">
      <c r="M857"/>
    </row>
    <row r="858" spans="13:13">
      <c r="M858"/>
    </row>
    <row r="859" spans="13:13">
      <c r="M859"/>
    </row>
    <row r="860" spans="13:13">
      <c r="M860"/>
    </row>
    <row r="861" spans="13:13">
      <c r="M861"/>
    </row>
    <row r="862" spans="13:13">
      <c r="M862"/>
    </row>
    <row r="863" spans="13:13">
      <c r="M863"/>
    </row>
    <row r="864" spans="13:13">
      <c r="M864"/>
    </row>
    <row r="865" spans="13:13">
      <c r="M865"/>
    </row>
    <row r="866" spans="13:13">
      <c r="M866"/>
    </row>
    <row r="867" spans="13:13">
      <c r="M867"/>
    </row>
    <row r="868" spans="13:13">
      <c r="M868"/>
    </row>
    <row r="869" spans="13:13">
      <c r="M869"/>
    </row>
    <row r="870" spans="13:13">
      <c r="M870"/>
    </row>
    <row r="871" spans="13:13">
      <c r="M871"/>
    </row>
    <row r="872" spans="13:13">
      <c r="M872"/>
    </row>
    <row r="873" spans="13:13">
      <c r="M873"/>
    </row>
    <row r="874" spans="13:13">
      <c r="M874"/>
    </row>
    <row r="875" spans="13:13">
      <c r="M875"/>
    </row>
    <row r="876" spans="13:13">
      <c r="M876"/>
    </row>
    <row r="877" spans="13:13">
      <c r="M877"/>
    </row>
    <row r="878" spans="13:13">
      <c r="M878"/>
    </row>
    <row r="879" spans="13:13">
      <c r="M879"/>
    </row>
    <row r="880" spans="13:13">
      <c r="M880"/>
    </row>
    <row r="881" spans="13:13">
      <c r="M881"/>
    </row>
    <row r="882" spans="13:13">
      <c r="M882"/>
    </row>
    <row r="883" spans="13:13">
      <c r="M883"/>
    </row>
    <row r="884" spans="13:13">
      <c r="M884"/>
    </row>
    <row r="885" spans="13:13">
      <c r="M885"/>
    </row>
    <row r="886" spans="13:13">
      <c r="M886"/>
    </row>
    <row r="887" spans="13:13">
      <c r="M887"/>
    </row>
    <row r="888" spans="13:13">
      <c r="M888"/>
    </row>
    <row r="889" spans="13:13">
      <c r="M889"/>
    </row>
    <row r="890" spans="13:13">
      <c r="M890"/>
    </row>
    <row r="891" spans="13:13">
      <c r="M891"/>
    </row>
    <row r="892" spans="13:13">
      <c r="M892"/>
    </row>
    <row r="893" spans="13:13">
      <c r="M893"/>
    </row>
    <row r="894" spans="13:13">
      <c r="M894"/>
    </row>
    <row r="895" spans="13:13">
      <c r="M895"/>
    </row>
    <row r="896" spans="13:13">
      <c r="M896"/>
    </row>
    <row r="897" spans="13:13">
      <c r="M897"/>
    </row>
    <row r="898" spans="13:13">
      <c r="M898"/>
    </row>
    <row r="899" spans="13:13">
      <c r="M899"/>
    </row>
    <row r="900" spans="13:13">
      <c r="M900"/>
    </row>
    <row r="901" spans="13:13">
      <c r="M901"/>
    </row>
    <row r="902" spans="13:13">
      <c r="M902"/>
    </row>
    <row r="903" spans="13:13">
      <c r="M903"/>
    </row>
    <row r="904" spans="13:13">
      <c r="M904"/>
    </row>
    <row r="905" spans="13:13">
      <c r="M905"/>
    </row>
    <row r="906" spans="13:13">
      <c r="M906"/>
    </row>
    <row r="907" spans="13:13">
      <c r="M907"/>
    </row>
    <row r="908" spans="13:13">
      <c r="M908"/>
    </row>
    <row r="909" spans="13:13">
      <c r="M909"/>
    </row>
    <row r="910" spans="13:13">
      <c r="M910"/>
    </row>
    <row r="911" spans="13:13">
      <c r="M911"/>
    </row>
    <row r="912" spans="13:13">
      <c r="M912"/>
    </row>
    <row r="913" spans="13:13">
      <c r="M913"/>
    </row>
    <row r="914" spans="13:13">
      <c r="M914"/>
    </row>
    <row r="915" spans="13:13">
      <c r="M915"/>
    </row>
    <row r="916" spans="13:13">
      <c r="M916"/>
    </row>
    <row r="917" spans="13:13">
      <c r="M917"/>
    </row>
    <row r="918" spans="13:13">
      <c r="M918"/>
    </row>
    <row r="919" spans="13:13">
      <c r="M919"/>
    </row>
    <row r="920" spans="13:13">
      <c r="M920"/>
    </row>
    <row r="921" spans="13:13">
      <c r="M921"/>
    </row>
    <row r="922" spans="13:13">
      <c r="M922"/>
    </row>
    <row r="923" spans="13:13">
      <c r="M923"/>
    </row>
    <row r="924" spans="13:13">
      <c r="M924"/>
    </row>
    <row r="925" spans="13:13">
      <c r="M925"/>
    </row>
    <row r="926" spans="13:13">
      <c r="M926"/>
    </row>
    <row r="927" spans="13:13">
      <c r="M927"/>
    </row>
    <row r="928" spans="13:13">
      <c r="M928"/>
    </row>
    <row r="929" spans="13:13">
      <c r="M929"/>
    </row>
    <row r="930" spans="13:13">
      <c r="M930"/>
    </row>
    <row r="931" spans="13:13">
      <c r="M931"/>
    </row>
    <row r="932" spans="13:13">
      <c r="M932"/>
    </row>
    <row r="933" spans="13:13">
      <c r="M933"/>
    </row>
    <row r="934" spans="13:13">
      <c r="M934"/>
    </row>
    <row r="935" spans="13:13">
      <c r="M935"/>
    </row>
    <row r="936" spans="13:13">
      <c r="M936"/>
    </row>
    <row r="937" spans="13:13">
      <c r="M937"/>
    </row>
    <row r="938" spans="13:13">
      <c r="M938"/>
    </row>
    <row r="939" spans="13:13">
      <c r="M939"/>
    </row>
    <row r="940" spans="13:13">
      <c r="M940"/>
    </row>
    <row r="941" spans="13:13">
      <c r="M941"/>
    </row>
    <row r="942" spans="13:13">
      <c r="M942"/>
    </row>
    <row r="943" spans="13:13">
      <c r="M943"/>
    </row>
    <row r="944" spans="13:13">
      <c r="M944"/>
    </row>
    <row r="945" spans="13:13">
      <c r="M945"/>
    </row>
    <row r="946" spans="13:13">
      <c r="M946"/>
    </row>
    <row r="947" spans="13:13">
      <c r="M947"/>
    </row>
    <row r="948" spans="13:13">
      <c r="M948"/>
    </row>
    <row r="949" spans="13:13">
      <c r="M949"/>
    </row>
    <row r="950" spans="13:13">
      <c r="M950"/>
    </row>
    <row r="951" spans="13:13">
      <c r="M951"/>
    </row>
    <row r="952" spans="13:13">
      <c r="M952"/>
    </row>
    <row r="953" spans="13:13">
      <c r="M953"/>
    </row>
    <row r="954" spans="13:13">
      <c r="M954"/>
    </row>
    <row r="955" spans="13:13">
      <c r="M955"/>
    </row>
    <row r="956" spans="13:13">
      <c r="M956"/>
    </row>
    <row r="957" spans="13:13">
      <c r="M957"/>
    </row>
    <row r="958" spans="13:13">
      <c r="M958"/>
    </row>
    <row r="959" spans="13:13">
      <c r="M959"/>
    </row>
    <row r="960" spans="13:13">
      <c r="M960"/>
    </row>
    <row r="961" spans="13:13">
      <c r="M961"/>
    </row>
    <row r="962" spans="13:13">
      <c r="M962"/>
    </row>
    <row r="963" spans="13:13">
      <c r="M963"/>
    </row>
    <row r="964" spans="13:13">
      <c r="M964"/>
    </row>
    <row r="965" spans="13:13">
      <c r="M965"/>
    </row>
    <row r="966" spans="13:13">
      <c r="M966"/>
    </row>
    <row r="967" spans="13:13">
      <c r="M967"/>
    </row>
    <row r="968" spans="13:13">
      <c r="M968"/>
    </row>
    <row r="969" spans="13:13">
      <c r="M969"/>
    </row>
    <row r="970" spans="13:13">
      <c r="M970"/>
    </row>
    <row r="971" spans="13:13">
      <c r="M971"/>
    </row>
    <row r="972" spans="13:13">
      <c r="M972"/>
    </row>
    <row r="973" spans="13:13">
      <c r="M973"/>
    </row>
    <row r="974" spans="13:13">
      <c r="M974"/>
    </row>
    <row r="975" spans="13:13">
      <c r="M975"/>
    </row>
    <row r="976" spans="13:13">
      <c r="M976"/>
    </row>
    <row r="977" spans="13:13">
      <c r="M977"/>
    </row>
    <row r="978" spans="13:13">
      <c r="M978"/>
    </row>
    <row r="979" spans="13:13">
      <c r="M979"/>
    </row>
    <row r="980" spans="13:13">
      <c r="M980"/>
    </row>
    <row r="981" spans="13:13">
      <c r="M981"/>
    </row>
    <row r="982" spans="13:13">
      <c r="M982"/>
    </row>
    <row r="983" spans="13:13">
      <c r="M983"/>
    </row>
    <row r="984" spans="13:13">
      <c r="M984"/>
    </row>
    <row r="985" spans="13:13">
      <c r="M985"/>
    </row>
    <row r="986" spans="13:13">
      <c r="M986"/>
    </row>
    <row r="987" spans="13:13">
      <c r="M987"/>
    </row>
    <row r="988" spans="13:13">
      <c r="M988"/>
    </row>
    <row r="989" spans="13:13">
      <c r="M989"/>
    </row>
    <row r="990" spans="13:13">
      <c r="M990"/>
    </row>
    <row r="991" spans="13:13">
      <c r="M991"/>
    </row>
    <row r="992" spans="13:13">
      <c r="M992"/>
    </row>
    <row r="993" spans="13:13">
      <c r="M993"/>
    </row>
    <row r="994" spans="13:13">
      <c r="M994"/>
    </row>
    <row r="995" spans="13:13">
      <c r="M995"/>
    </row>
    <row r="996" spans="13:13">
      <c r="M996"/>
    </row>
    <row r="997" spans="13:13">
      <c r="M997"/>
    </row>
    <row r="998" spans="13:13">
      <c r="M998"/>
    </row>
    <row r="999" spans="13:13">
      <c r="M999"/>
    </row>
    <row r="1000" spans="13:13">
      <c r="M1000"/>
    </row>
    <row r="1001" spans="13:13">
      <c r="M1001"/>
    </row>
    <row r="1002" spans="13:13">
      <c r="M1002"/>
    </row>
    <row r="1003" spans="13:13">
      <c r="M1003"/>
    </row>
    <row r="1004" spans="13:13">
      <c r="M1004"/>
    </row>
    <row r="1005" spans="13:13">
      <c r="M1005"/>
    </row>
    <row r="1006" spans="13:13">
      <c r="M1006"/>
    </row>
    <row r="1007" spans="13:13">
      <c r="M1007"/>
    </row>
    <row r="1008" spans="13:13">
      <c r="M1008"/>
    </row>
    <row r="1009" spans="13:13">
      <c r="M1009"/>
    </row>
    <row r="1010" spans="13:13">
      <c r="M1010"/>
    </row>
    <row r="1011" spans="13:13">
      <c r="M1011"/>
    </row>
    <row r="1012" spans="13:13">
      <c r="M1012"/>
    </row>
    <row r="1013" spans="13:13">
      <c r="M1013"/>
    </row>
    <row r="1014" spans="13:13">
      <c r="M1014"/>
    </row>
    <row r="1015" spans="13:13">
      <c r="M1015"/>
    </row>
    <row r="1016" spans="13:13">
      <c r="M1016"/>
    </row>
    <row r="1017" spans="13:13">
      <c r="M1017"/>
    </row>
    <row r="1018" spans="13:13">
      <c r="M1018"/>
    </row>
    <row r="1019" spans="13:13">
      <c r="M1019"/>
    </row>
    <row r="1020" spans="13:13">
      <c r="M1020"/>
    </row>
    <row r="1021" spans="13:13">
      <c r="M1021"/>
    </row>
    <row r="1022" spans="13:13">
      <c r="M1022"/>
    </row>
    <row r="1023" spans="13:13">
      <c r="M1023"/>
    </row>
    <row r="1024" spans="13:13">
      <c r="M1024"/>
    </row>
    <row r="1025" spans="13:13">
      <c r="M1025"/>
    </row>
    <row r="1026" spans="13:13">
      <c r="M1026"/>
    </row>
    <row r="1027" spans="13:13">
      <c r="M1027"/>
    </row>
    <row r="1028" spans="13:13">
      <c r="M1028"/>
    </row>
    <row r="1029" spans="13:13">
      <c r="M1029"/>
    </row>
    <row r="1030" spans="13:13">
      <c r="M1030"/>
    </row>
    <row r="1031" spans="13:13">
      <c r="M1031"/>
    </row>
    <row r="1032" spans="13:13">
      <c r="M1032"/>
    </row>
    <row r="1033" spans="13:13">
      <c r="M1033"/>
    </row>
    <row r="1034" spans="13:13">
      <c r="M1034"/>
    </row>
    <row r="1035" spans="13:13">
      <c r="M1035"/>
    </row>
  </sheetData>
  <pageMargins left="0.70866141732283472" right="0.70866141732283472" top="0.74803149606299213" bottom="0.74803149606299213" header="0.31496062992125984" footer="0.31496062992125984"/>
  <pageSetup paperSize="9" scale="47" fitToWidth="2" fitToHeight="0" pageOrder="overThenDown" orientation="landscape" r:id="rId1"/>
  <headerFooter>
    <oddHeader>&amp;L&amp;"-,Bold"&amp;14Appendix J&amp;C&amp;"-,Bold"&amp;12Mayor's Consultation Budget 2023-2024
Climate Budget Measures (Funded)</oddHeader>
    <oddFooter>&amp;R&amp;P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FBD2-11EA-4A30-BD69-2FF9B2DF8D91}">
  <sheetPr>
    <pageSetUpPr fitToPage="1"/>
  </sheetPr>
  <dimension ref="A1:AB109"/>
  <sheetViews>
    <sheetView zoomScale="90" zoomScaleNormal="90" workbookViewId="0">
      <pane xSplit="2" ySplit="2" topLeftCell="T44" activePane="bottomRight" state="frozen"/>
      <selection pane="topRight" activeCell="B1" sqref="B1"/>
      <selection pane="bottomLeft" activeCell="A3" sqref="A3"/>
      <selection pane="bottomRight" activeCell="O106" sqref="O106"/>
    </sheetView>
  </sheetViews>
  <sheetFormatPr defaultColWidth="22.73046875" defaultRowHeight="13.15"/>
  <cols>
    <col min="1" max="1" width="6.86328125" style="433" bestFit="1" customWidth="1"/>
    <col min="2" max="2" width="11.73046875" style="433" bestFit="1" customWidth="1"/>
    <col min="3" max="3" width="14.3984375" style="433" customWidth="1"/>
    <col min="4" max="4" width="46.1328125" style="433" customWidth="1"/>
    <col min="5" max="5" width="41.265625" style="433" customWidth="1"/>
    <col min="6" max="6" width="16.1328125" style="433" customWidth="1"/>
    <col min="7" max="8" width="11.3984375" style="439" customWidth="1"/>
    <col min="9" max="10" width="15.3984375" style="440" customWidth="1"/>
    <col min="11" max="11" width="18" style="440" bestFit="1" customWidth="1"/>
    <col min="12" max="12" width="47.3984375" style="433" bestFit="1" customWidth="1"/>
    <col min="13" max="13" width="25.73046875" style="433" bestFit="1" customWidth="1"/>
    <col min="14" max="14" width="54.1328125" style="433" bestFit="1" customWidth="1"/>
    <col min="15" max="19" width="13.1328125" style="435" customWidth="1"/>
    <col min="20" max="20" width="9.265625" style="432" customWidth="1"/>
    <col min="21" max="25" width="9.86328125" style="435" customWidth="1"/>
    <col min="26" max="26" width="31.86328125" style="433" customWidth="1"/>
    <col min="27" max="27" width="12" style="433" customWidth="1"/>
    <col min="28" max="28" width="80.3984375" style="433" customWidth="1"/>
    <col min="29" max="16384" width="22.73046875" style="433"/>
  </cols>
  <sheetData>
    <row r="1" spans="1:28" s="432" customFormat="1" ht="65.650000000000006">
      <c r="A1" s="459" t="s">
        <v>1435</v>
      </c>
      <c r="B1" s="432" t="s">
        <v>1436</v>
      </c>
      <c r="C1" s="432" t="s">
        <v>756</v>
      </c>
      <c r="D1" s="432" t="s">
        <v>757</v>
      </c>
      <c r="E1" s="432" t="s">
        <v>467</v>
      </c>
      <c r="F1" s="432" t="s">
        <v>68</v>
      </c>
      <c r="G1" s="432" t="s">
        <v>759</v>
      </c>
      <c r="H1" s="432" t="s">
        <v>760</v>
      </c>
      <c r="I1" s="432" t="s">
        <v>1361</v>
      </c>
      <c r="J1" s="432" t="s">
        <v>762</v>
      </c>
      <c r="K1" s="432" t="s">
        <v>763</v>
      </c>
      <c r="L1" s="432" t="s">
        <v>764</v>
      </c>
      <c r="M1" s="432" t="s">
        <v>1024</v>
      </c>
      <c r="N1" s="432" t="s">
        <v>136</v>
      </c>
      <c r="O1" s="432" t="s">
        <v>1412</v>
      </c>
      <c r="P1" s="432" t="s">
        <v>1413</v>
      </c>
      <c r="Q1" s="432" t="s">
        <v>1414</v>
      </c>
      <c r="R1" s="432" t="s">
        <v>1415</v>
      </c>
      <c r="S1" s="432" t="s">
        <v>1360</v>
      </c>
      <c r="T1" s="432" t="s">
        <v>1025</v>
      </c>
      <c r="U1" s="432" t="s">
        <v>1026</v>
      </c>
      <c r="V1" s="432" t="s">
        <v>1027</v>
      </c>
      <c r="W1" s="432" t="s">
        <v>1028</v>
      </c>
      <c r="X1" s="432" t="s">
        <v>1029</v>
      </c>
      <c r="Y1" s="432" t="s">
        <v>1399</v>
      </c>
      <c r="Z1" s="432" t="s">
        <v>1030</v>
      </c>
      <c r="AA1" s="432" t="s">
        <v>1031</v>
      </c>
      <c r="AB1" s="432" t="s">
        <v>769</v>
      </c>
    </row>
    <row r="2" spans="1:28">
      <c r="A2" s="457"/>
      <c r="C2" s="437" t="s">
        <v>36</v>
      </c>
      <c r="G2" s="432"/>
      <c r="H2" s="432"/>
      <c r="I2" s="435"/>
      <c r="J2" s="435"/>
      <c r="K2" s="435"/>
    </row>
    <row r="3" spans="1:28" ht="65.650000000000006">
      <c r="A3" s="458" t="s">
        <v>36</v>
      </c>
      <c r="B3" s="433" t="s">
        <v>1335</v>
      </c>
      <c r="C3" s="433" t="s">
        <v>770</v>
      </c>
      <c r="D3" s="433" t="s">
        <v>1330</v>
      </c>
      <c r="E3" s="433" t="s">
        <v>1331</v>
      </c>
      <c r="F3" s="433" t="s">
        <v>240</v>
      </c>
      <c r="G3" s="432" t="s">
        <v>947</v>
      </c>
      <c r="H3" s="432" t="s">
        <v>947</v>
      </c>
      <c r="I3" s="435" t="s">
        <v>1332</v>
      </c>
      <c r="J3" s="435" t="s">
        <v>1332</v>
      </c>
      <c r="K3" s="435" t="s">
        <v>1332</v>
      </c>
      <c r="L3" s="433" t="s">
        <v>966</v>
      </c>
      <c r="M3" s="433" t="s">
        <v>1333</v>
      </c>
      <c r="O3" s="435" t="s">
        <v>774</v>
      </c>
      <c r="P3" s="435" t="s">
        <v>774</v>
      </c>
      <c r="Q3" s="435" t="s">
        <v>774</v>
      </c>
      <c r="R3" s="435" t="s">
        <v>774</v>
      </c>
      <c r="S3" s="435" t="s">
        <v>774</v>
      </c>
      <c r="T3" s="432" t="s">
        <v>944</v>
      </c>
      <c r="U3" s="435" t="s">
        <v>774</v>
      </c>
      <c r="V3" s="435" t="s">
        <v>774</v>
      </c>
      <c r="W3" s="435" t="s">
        <v>774</v>
      </c>
      <c r="X3" s="435">
        <v>0</v>
      </c>
      <c r="Y3" s="435">
        <v>0</v>
      </c>
      <c r="Z3" s="433" t="s">
        <v>807</v>
      </c>
      <c r="AA3" s="433" t="s">
        <v>1334</v>
      </c>
      <c r="AB3" s="433" t="s">
        <v>1393</v>
      </c>
    </row>
    <row r="4" spans="1:28">
      <c r="A4" s="457"/>
      <c r="C4" s="437" t="s">
        <v>985</v>
      </c>
      <c r="G4" s="432"/>
      <c r="H4" s="432"/>
      <c r="I4" s="435"/>
      <c r="J4" s="435"/>
      <c r="K4" s="435"/>
    </row>
    <row r="5" spans="1:28" ht="65.650000000000006">
      <c r="A5" s="458" t="s">
        <v>985</v>
      </c>
      <c r="B5" s="433" t="s">
        <v>1353</v>
      </c>
      <c r="C5" s="433" t="s">
        <v>770</v>
      </c>
      <c r="D5" s="433" t="s">
        <v>1336</v>
      </c>
      <c r="E5" s="433" t="s">
        <v>1337</v>
      </c>
      <c r="F5" s="433" t="s">
        <v>240</v>
      </c>
      <c r="G5" s="432" t="s">
        <v>1362</v>
      </c>
      <c r="H5" s="432" t="s">
        <v>947</v>
      </c>
      <c r="I5" s="435" t="s">
        <v>1332</v>
      </c>
      <c r="J5" s="435" t="s">
        <v>1332</v>
      </c>
      <c r="K5" s="435" t="s">
        <v>1338</v>
      </c>
      <c r="L5" s="433" t="s">
        <v>1339</v>
      </c>
      <c r="M5" s="433" t="s">
        <v>1333</v>
      </c>
      <c r="N5" s="433" t="s">
        <v>774</v>
      </c>
      <c r="O5" s="435">
        <v>0</v>
      </c>
      <c r="P5" s="435">
        <v>0</v>
      </c>
      <c r="Q5" s="435">
        <v>0</v>
      </c>
      <c r="R5" s="435">
        <v>0</v>
      </c>
      <c r="S5" s="435" t="s">
        <v>774</v>
      </c>
      <c r="T5" s="432" t="s">
        <v>944</v>
      </c>
      <c r="U5" s="435">
        <v>0</v>
      </c>
      <c r="V5" s="435">
        <v>0</v>
      </c>
      <c r="W5" s="435">
        <v>0</v>
      </c>
      <c r="X5" s="435">
        <v>0</v>
      </c>
      <c r="Y5" s="435">
        <v>0</v>
      </c>
      <c r="Z5" s="433" t="s">
        <v>807</v>
      </c>
    </row>
    <row r="6" spans="1:28" ht="65.650000000000006">
      <c r="A6" s="457" t="s">
        <v>985</v>
      </c>
      <c r="B6" s="433" t="s">
        <v>1354</v>
      </c>
      <c r="C6" s="433" t="s">
        <v>770</v>
      </c>
      <c r="D6" s="433" t="s">
        <v>1340</v>
      </c>
      <c r="E6" s="433" t="s">
        <v>1341</v>
      </c>
      <c r="F6" s="433" t="s">
        <v>240</v>
      </c>
      <c r="G6" s="432" t="s">
        <v>1362</v>
      </c>
      <c r="H6" s="432" t="s">
        <v>947</v>
      </c>
      <c r="I6" s="435" t="s">
        <v>1332</v>
      </c>
      <c r="J6" s="435" t="s">
        <v>1332</v>
      </c>
      <c r="K6" s="435" t="s">
        <v>1332</v>
      </c>
      <c r="L6" s="433" t="s">
        <v>1342</v>
      </c>
      <c r="M6" s="433" t="s">
        <v>1333</v>
      </c>
      <c r="O6" s="435">
        <v>0</v>
      </c>
      <c r="P6" s="435">
        <v>0</v>
      </c>
      <c r="Q6" s="435">
        <v>0</v>
      </c>
      <c r="R6" s="435">
        <v>0</v>
      </c>
      <c r="S6" s="435" t="s">
        <v>774</v>
      </c>
      <c r="T6" s="432" t="s">
        <v>944</v>
      </c>
      <c r="U6" s="435">
        <v>0</v>
      </c>
      <c r="V6" s="435">
        <v>0</v>
      </c>
      <c r="Y6" s="435">
        <v>0</v>
      </c>
      <c r="Z6" s="433" t="s">
        <v>807</v>
      </c>
      <c r="AB6" s="433" t="s">
        <v>1343</v>
      </c>
    </row>
    <row r="7" spans="1:28" ht="52.5">
      <c r="A7" s="458" t="s">
        <v>985</v>
      </c>
      <c r="B7" s="433" t="s">
        <v>1355</v>
      </c>
      <c r="C7" s="433" t="s">
        <v>770</v>
      </c>
      <c r="D7" s="433" t="s">
        <v>1340</v>
      </c>
      <c r="E7" s="433" t="s">
        <v>1344</v>
      </c>
      <c r="F7" s="433" t="s">
        <v>240</v>
      </c>
      <c r="G7" s="432" t="s">
        <v>1362</v>
      </c>
      <c r="H7" s="432" t="s">
        <v>947</v>
      </c>
      <c r="I7" s="435" t="s">
        <v>1332</v>
      </c>
      <c r="J7" s="435" t="s">
        <v>1332</v>
      </c>
      <c r="K7" s="435" t="s">
        <v>1345</v>
      </c>
      <c r="L7" s="433" t="s">
        <v>1346</v>
      </c>
      <c r="M7" s="433" t="s">
        <v>1333</v>
      </c>
      <c r="O7" s="435">
        <v>0</v>
      </c>
      <c r="P7" s="435">
        <v>0</v>
      </c>
      <c r="Q7" s="435">
        <v>0</v>
      </c>
      <c r="R7" s="435">
        <v>0</v>
      </c>
      <c r="S7" s="435" t="s">
        <v>774</v>
      </c>
      <c r="T7" s="432" t="s">
        <v>944</v>
      </c>
      <c r="U7" s="435">
        <v>0</v>
      </c>
      <c r="V7" s="435">
        <v>0</v>
      </c>
      <c r="W7" s="435">
        <v>0</v>
      </c>
      <c r="X7" s="435">
        <v>0</v>
      </c>
      <c r="Y7" s="435">
        <v>0</v>
      </c>
      <c r="Z7" s="433" t="s">
        <v>807</v>
      </c>
      <c r="AB7" s="433" t="s">
        <v>1343</v>
      </c>
    </row>
    <row r="8" spans="1:28" ht="91.9">
      <c r="A8" s="457" t="s">
        <v>985</v>
      </c>
      <c r="B8" s="433" t="s">
        <v>1356</v>
      </c>
      <c r="C8" s="433" t="s">
        <v>770</v>
      </c>
      <c r="D8" s="433" t="s">
        <v>1347</v>
      </c>
      <c r="E8" s="433" t="s">
        <v>1348</v>
      </c>
      <c r="F8" s="433" t="s">
        <v>240</v>
      </c>
      <c r="G8" s="432" t="s">
        <v>1362</v>
      </c>
      <c r="H8" s="432" t="s">
        <v>947</v>
      </c>
      <c r="I8" s="435" t="s">
        <v>1332</v>
      </c>
      <c r="J8" s="435" t="s">
        <v>1332</v>
      </c>
      <c r="K8" s="435" t="s">
        <v>1332</v>
      </c>
      <c r="L8" s="433" t="s">
        <v>1349</v>
      </c>
      <c r="M8" s="433" t="s">
        <v>1333</v>
      </c>
      <c r="N8" s="433" t="s">
        <v>1350</v>
      </c>
      <c r="S8" s="435">
        <v>0</v>
      </c>
      <c r="X8" s="435">
        <v>0</v>
      </c>
      <c r="Y8" s="435">
        <v>0</v>
      </c>
      <c r="AB8" s="433" t="s">
        <v>1351</v>
      </c>
    </row>
    <row r="9" spans="1:28" ht="52.5">
      <c r="A9" s="458" t="s">
        <v>985</v>
      </c>
      <c r="B9" s="433" t="s">
        <v>1357</v>
      </c>
      <c r="C9" s="433" t="s">
        <v>770</v>
      </c>
      <c r="D9" s="433" t="s">
        <v>964</v>
      </c>
      <c r="E9" s="433" t="s">
        <v>1394</v>
      </c>
      <c r="F9" s="433" t="s">
        <v>240</v>
      </c>
      <c r="G9" s="432" t="s">
        <v>947</v>
      </c>
      <c r="H9" s="432" t="s">
        <v>947</v>
      </c>
      <c r="I9" s="435" t="s">
        <v>1332</v>
      </c>
      <c r="J9" s="435" t="s">
        <v>1332</v>
      </c>
      <c r="K9" s="435" t="s">
        <v>1332</v>
      </c>
      <c r="L9" s="433" t="s">
        <v>1346</v>
      </c>
      <c r="M9" s="433" t="s">
        <v>1333</v>
      </c>
      <c r="O9" s="435" t="s">
        <v>774</v>
      </c>
      <c r="P9" s="435">
        <v>0</v>
      </c>
      <c r="Q9" s="435">
        <v>0</v>
      </c>
      <c r="R9" s="435">
        <v>0</v>
      </c>
      <c r="S9" s="435" t="s">
        <v>774</v>
      </c>
      <c r="T9" s="432" t="s">
        <v>944</v>
      </c>
      <c r="U9" s="435">
        <v>0</v>
      </c>
      <c r="V9" s="435">
        <v>0</v>
      </c>
      <c r="W9" s="435">
        <v>0</v>
      </c>
      <c r="X9" s="435">
        <v>0</v>
      </c>
      <c r="Y9" s="435">
        <v>0</v>
      </c>
      <c r="Z9" s="433" t="s">
        <v>807</v>
      </c>
      <c r="AA9" s="433" t="s">
        <v>1352</v>
      </c>
      <c r="AB9" s="433" t="s">
        <v>1395</v>
      </c>
    </row>
    <row r="10" spans="1:28" ht="91.9">
      <c r="A10" s="457" t="s">
        <v>985</v>
      </c>
      <c r="B10" s="433" t="s">
        <v>1358</v>
      </c>
      <c r="C10" s="433" t="s">
        <v>770</v>
      </c>
      <c r="D10" s="433" t="s">
        <v>965</v>
      </c>
      <c r="E10" s="433" t="s">
        <v>1396</v>
      </c>
      <c r="F10" s="433" t="s">
        <v>240</v>
      </c>
      <c r="G10" s="432" t="s">
        <v>1362</v>
      </c>
      <c r="H10" s="432" t="s">
        <v>947</v>
      </c>
      <c r="I10" s="435" t="s">
        <v>1332</v>
      </c>
      <c r="J10" s="435" t="s">
        <v>1332</v>
      </c>
      <c r="K10" s="435" t="s">
        <v>1332</v>
      </c>
      <c r="L10" s="433" t="s">
        <v>966</v>
      </c>
      <c r="M10" s="433" t="s">
        <v>1333</v>
      </c>
      <c r="O10" s="435" t="s">
        <v>774</v>
      </c>
      <c r="P10" s="435" t="s">
        <v>774</v>
      </c>
      <c r="Q10" s="435" t="s">
        <v>774</v>
      </c>
      <c r="R10" s="435" t="s">
        <v>774</v>
      </c>
      <c r="S10" s="435" t="s">
        <v>774</v>
      </c>
      <c r="T10" s="432" t="s">
        <v>944</v>
      </c>
      <c r="U10" s="435" t="s">
        <v>774</v>
      </c>
      <c r="V10" s="435" t="s">
        <v>774</v>
      </c>
      <c r="W10" s="435" t="s">
        <v>774</v>
      </c>
      <c r="X10" s="435">
        <v>0</v>
      </c>
      <c r="Y10" s="435">
        <v>0</v>
      </c>
      <c r="Z10" s="433" t="s">
        <v>807</v>
      </c>
      <c r="AA10" s="433" t="s">
        <v>1334</v>
      </c>
      <c r="AB10" s="433" t="s">
        <v>1423</v>
      </c>
    </row>
    <row r="11" spans="1:28" ht="105">
      <c r="A11" s="458" t="s">
        <v>985</v>
      </c>
      <c r="B11" s="433" t="s">
        <v>1359</v>
      </c>
      <c r="C11" s="433" t="s">
        <v>433</v>
      </c>
      <c r="D11" s="433" t="s">
        <v>967</v>
      </c>
      <c r="E11" s="433" t="s">
        <v>1397</v>
      </c>
      <c r="F11" s="433" t="s">
        <v>240</v>
      </c>
      <c r="G11" s="432" t="s">
        <v>1362</v>
      </c>
      <c r="H11" s="432" t="s">
        <v>947</v>
      </c>
      <c r="I11" s="435" t="s">
        <v>1332</v>
      </c>
      <c r="J11" s="435" t="s">
        <v>1332</v>
      </c>
      <c r="K11" s="435" t="s">
        <v>1332</v>
      </c>
      <c r="L11" s="433" t="s">
        <v>966</v>
      </c>
      <c r="M11" s="433" t="s">
        <v>1333</v>
      </c>
      <c r="O11" s="435" t="s">
        <v>774</v>
      </c>
      <c r="P11" s="435" t="s">
        <v>774</v>
      </c>
      <c r="Q11" s="435" t="s">
        <v>774</v>
      </c>
      <c r="R11" s="435" t="s">
        <v>774</v>
      </c>
      <c r="S11" s="435" t="s">
        <v>774</v>
      </c>
      <c r="T11" s="432" t="s">
        <v>944</v>
      </c>
      <c r="U11" s="435" t="s">
        <v>774</v>
      </c>
      <c r="V11" s="435" t="s">
        <v>774</v>
      </c>
      <c r="W11" s="435" t="s">
        <v>774</v>
      </c>
      <c r="X11" s="435">
        <v>0</v>
      </c>
      <c r="Y11" s="435">
        <v>0</v>
      </c>
      <c r="Z11" s="433" t="s">
        <v>807</v>
      </c>
      <c r="AA11" s="433" t="s">
        <v>1334</v>
      </c>
      <c r="AB11" s="433" t="s">
        <v>1422</v>
      </c>
    </row>
    <row r="12" spans="1:28">
      <c r="A12" s="457"/>
      <c r="C12" s="436" t="s">
        <v>37</v>
      </c>
      <c r="G12" s="432"/>
      <c r="H12" s="432"/>
      <c r="I12" s="435"/>
      <c r="J12" s="435"/>
      <c r="K12" s="435"/>
    </row>
    <row r="13" spans="1:28" ht="26.25">
      <c r="A13" s="458" t="s">
        <v>37</v>
      </c>
      <c r="B13" s="433" t="s">
        <v>1183</v>
      </c>
      <c r="C13" s="433" t="s">
        <v>1150</v>
      </c>
      <c r="D13" s="433" t="s">
        <v>1151</v>
      </c>
      <c r="F13" s="433" t="s">
        <v>1424</v>
      </c>
      <c r="G13" s="432" t="s">
        <v>947</v>
      </c>
      <c r="H13" s="432" t="s">
        <v>1385</v>
      </c>
      <c r="I13" s="435" t="s">
        <v>827</v>
      </c>
      <c r="J13" s="435" t="s">
        <v>827</v>
      </c>
      <c r="K13" s="435" t="s">
        <v>827</v>
      </c>
      <c r="M13" s="433" t="s">
        <v>1152</v>
      </c>
      <c r="N13" s="433" t="s">
        <v>807</v>
      </c>
      <c r="O13" s="435">
        <v>1000</v>
      </c>
      <c r="P13" s="435">
        <v>1000</v>
      </c>
      <c r="Q13" s="435">
        <v>1000</v>
      </c>
      <c r="R13" s="435">
        <v>5000</v>
      </c>
      <c r="S13" s="435">
        <v>8000</v>
      </c>
      <c r="T13" s="432" t="s">
        <v>884</v>
      </c>
      <c r="U13" s="435" t="s">
        <v>807</v>
      </c>
      <c r="V13" s="435" t="s">
        <v>807</v>
      </c>
      <c r="W13" s="435" t="s">
        <v>807</v>
      </c>
      <c r="X13" s="435" t="s">
        <v>807</v>
      </c>
      <c r="Y13" s="435" t="s">
        <v>807</v>
      </c>
      <c r="Z13" s="433" t="s">
        <v>1419</v>
      </c>
      <c r="AA13" s="433" t="s">
        <v>1036</v>
      </c>
      <c r="AB13" s="433" t="s">
        <v>1402</v>
      </c>
    </row>
    <row r="14" spans="1:28" ht="65.650000000000006">
      <c r="A14" s="457" t="s">
        <v>37</v>
      </c>
      <c r="B14" s="433" t="s">
        <v>1184</v>
      </c>
      <c r="C14" s="433" t="s">
        <v>1153</v>
      </c>
      <c r="D14" s="433" t="s">
        <v>1154</v>
      </c>
      <c r="E14" s="433" t="s">
        <v>1155</v>
      </c>
      <c r="F14" s="433" t="s">
        <v>1424</v>
      </c>
      <c r="G14" s="432" t="s">
        <v>1362</v>
      </c>
      <c r="H14" s="432" t="s">
        <v>1363</v>
      </c>
      <c r="I14" s="435">
        <v>41312.45591966041</v>
      </c>
      <c r="J14" s="435" t="s">
        <v>1364</v>
      </c>
      <c r="K14" s="435">
        <v>4064.1450898427729</v>
      </c>
      <c r="M14" s="433" t="s">
        <v>1156</v>
      </c>
      <c r="N14" s="433" t="s">
        <v>807</v>
      </c>
      <c r="O14" s="435">
        <v>350</v>
      </c>
      <c r="P14" s="435">
        <v>350</v>
      </c>
      <c r="Q14" s="435">
        <v>0</v>
      </c>
      <c r="R14" s="435">
        <v>0</v>
      </c>
      <c r="S14" s="435">
        <v>920</v>
      </c>
      <c r="T14" s="432" t="s">
        <v>884</v>
      </c>
      <c r="U14" s="435" t="s">
        <v>807</v>
      </c>
      <c r="V14" s="435" t="s">
        <v>807</v>
      </c>
      <c r="W14" s="435" t="s">
        <v>807</v>
      </c>
      <c r="X14" s="435" t="s">
        <v>1157</v>
      </c>
      <c r="Y14" s="435" t="s">
        <v>1157</v>
      </c>
      <c r="Z14" s="433" t="s">
        <v>1158</v>
      </c>
      <c r="AA14" s="433" t="s">
        <v>1159</v>
      </c>
      <c r="AB14" s="433" t="s">
        <v>1427</v>
      </c>
    </row>
    <row r="15" spans="1:28" ht="39.4">
      <c r="A15" s="458" t="s">
        <v>37</v>
      </c>
      <c r="B15" s="433" t="s">
        <v>841</v>
      </c>
      <c r="C15" s="433" t="s">
        <v>770</v>
      </c>
      <c r="D15" s="433" t="s">
        <v>1160</v>
      </c>
      <c r="E15" s="433" t="s">
        <v>1161</v>
      </c>
      <c r="F15" s="433" t="s">
        <v>1162</v>
      </c>
      <c r="G15" s="432" t="s">
        <v>947</v>
      </c>
      <c r="H15" s="432" t="s">
        <v>1363</v>
      </c>
      <c r="I15" s="435">
        <v>19295.093772278895</v>
      </c>
      <c r="J15" s="435" t="s">
        <v>1363</v>
      </c>
      <c r="K15" s="435">
        <v>1489.5515523048471</v>
      </c>
      <c r="M15" s="433" t="s">
        <v>1163</v>
      </c>
      <c r="N15" s="433" t="s">
        <v>807</v>
      </c>
      <c r="O15" s="435">
        <v>6000</v>
      </c>
      <c r="P15" s="435">
        <v>3000</v>
      </c>
      <c r="R15" s="435">
        <v>0</v>
      </c>
      <c r="S15" s="435">
        <v>9000</v>
      </c>
      <c r="T15" s="432" t="s">
        <v>786</v>
      </c>
      <c r="U15" s="435">
        <v>0</v>
      </c>
      <c r="V15" s="435">
        <v>605.60850980130897</v>
      </c>
      <c r="W15" s="435">
        <v>416.18414925076286</v>
      </c>
      <c r="X15" s="435">
        <v>2141.0716897539523</v>
      </c>
      <c r="Y15" s="435">
        <v>3162.8643488060243</v>
      </c>
      <c r="Z15" s="433" t="s">
        <v>1164</v>
      </c>
      <c r="AA15" s="433" t="s">
        <v>1036</v>
      </c>
      <c r="AB15" s="433" t="s">
        <v>1165</v>
      </c>
    </row>
    <row r="16" spans="1:28" ht="52.5">
      <c r="A16" s="457" t="s">
        <v>37</v>
      </c>
      <c r="B16" s="433" t="s">
        <v>842</v>
      </c>
      <c r="C16" s="433" t="s">
        <v>770</v>
      </c>
      <c r="D16" s="433" t="s">
        <v>1166</v>
      </c>
      <c r="E16" s="433" t="s">
        <v>1161</v>
      </c>
      <c r="F16" s="433" t="s">
        <v>1162</v>
      </c>
      <c r="G16" s="432" t="s">
        <v>1363</v>
      </c>
      <c r="H16" s="432" t="s">
        <v>1363</v>
      </c>
      <c r="I16" s="435">
        <v>32909.380517683079</v>
      </c>
      <c r="J16" s="435" t="s">
        <v>941</v>
      </c>
      <c r="K16" s="435">
        <v>2595.9089144158679</v>
      </c>
      <c r="M16" s="433" t="s">
        <v>1163</v>
      </c>
      <c r="N16" s="433" t="s">
        <v>807</v>
      </c>
      <c r="P16" s="435">
        <v>12500</v>
      </c>
      <c r="R16" s="435">
        <v>0</v>
      </c>
      <c r="S16" s="435">
        <v>12500</v>
      </c>
      <c r="T16" s="432" t="s">
        <v>786</v>
      </c>
      <c r="U16" s="435">
        <v>0</v>
      </c>
      <c r="V16" s="435">
        <v>0</v>
      </c>
      <c r="W16" s="435">
        <v>948.59154273959177</v>
      </c>
      <c r="X16" s="435">
        <v>4816.1415073296257</v>
      </c>
      <c r="Y16" s="435">
        <v>5764.7330500692178</v>
      </c>
      <c r="Z16" s="433" t="s">
        <v>1167</v>
      </c>
      <c r="AA16" s="433" t="s">
        <v>1159</v>
      </c>
      <c r="AB16" s="433" t="s">
        <v>1398</v>
      </c>
    </row>
    <row r="17" spans="1:28" ht="52.5">
      <c r="A17" s="458" t="s">
        <v>37</v>
      </c>
      <c r="B17" s="433" t="s">
        <v>1185</v>
      </c>
      <c r="C17" s="433" t="s">
        <v>770</v>
      </c>
      <c r="D17" s="433" t="s">
        <v>1168</v>
      </c>
      <c r="E17" s="433" t="s">
        <v>1169</v>
      </c>
      <c r="F17" s="433" t="s">
        <v>1425</v>
      </c>
      <c r="G17" s="432" t="s">
        <v>941</v>
      </c>
      <c r="H17" s="432" t="s">
        <v>1385</v>
      </c>
      <c r="I17" s="435">
        <v>122552.78288978274</v>
      </c>
      <c r="J17" s="435" t="s">
        <v>1367</v>
      </c>
      <c r="K17" s="435">
        <v>6217.5673696542926</v>
      </c>
      <c r="M17" s="433" t="s">
        <v>1163</v>
      </c>
      <c r="N17" s="433" t="s">
        <v>807</v>
      </c>
      <c r="Q17" s="435">
        <v>24410</v>
      </c>
      <c r="R17" s="435">
        <v>122040</v>
      </c>
      <c r="S17" s="435">
        <v>146450</v>
      </c>
      <c r="T17" s="432" t="s">
        <v>786</v>
      </c>
      <c r="U17" s="435">
        <v>0</v>
      </c>
      <c r="V17" s="435">
        <v>0</v>
      </c>
      <c r="W17" s="435">
        <v>0</v>
      </c>
      <c r="X17" s="435">
        <v>7334.1344260207825</v>
      </c>
      <c r="Y17" s="435">
        <v>7334.1344260207825</v>
      </c>
      <c r="Z17" s="433" t="s">
        <v>1420</v>
      </c>
      <c r="AA17" s="433" t="s">
        <v>1170</v>
      </c>
      <c r="AB17" s="433" t="s">
        <v>1430</v>
      </c>
    </row>
    <row r="18" spans="1:28" ht="39.4">
      <c r="A18" s="457" t="s">
        <v>37</v>
      </c>
      <c r="B18" s="433" t="s">
        <v>1186</v>
      </c>
      <c r="C18" s="433" t="s">
        <v>823</v>
      </c>
      <c r="D18" s="433" t="s">
        <v>1171</v>
      </c>
      <c r="E18" s="433" t="s">
        <v>1172</v>
      </c>
      <c r="F18" s="433" t="s">
        <v>1425</v>
      </c>
      <c r="G18" s="432" t="s">
        <v>947</v>
      </c>
      <c r="H18" s="432" t="s">
        <v>947</v>
      </c>
      <c r="I18" s="435" t="s">
        <v>827</v>
      </c>
      <c r="J18" s="435" t="s">
        <v>827</v>
      </c>
      <c r="K18" s="435" t="s">
        <v>827</v>
      </c>
      <c r="M18" s="433" t="s">
        <v>1173</v>
      </c>
      <c r="N18" s="433" t="s">
        <v>807</v>
      </c>
      <c r="O18" s="435">
        <v>100.1</v>
      </c>
      <c r="P18" s="435">
        <v>0</v>
      </c>
      <c r="Q18" s="435">
        <v>0</v>
      </c>
      <c r="R18" s="435">
        <v>0</v>
      </c>
      <c r="S18" s="435">
        <v>100.1</v>
      </c>
      <c r="T18" s="432" t="s">
        <v>786</v>
      </c>
      <c r="U18" s="435" t="s">
        <v>807</v>
      </c>
      <c r="V18" s="435" t="s">
        <v>807</v>
      </c>
      <c r="W18" s="435" t="s">
        <v>807</v>
      </c>
      <c r="X18" s="435" t="s">
        <v>807</v>
      </c>
      <c r="Y18" s="435" t="s">
        <v>807</v>
      </c>
      <c r="Z18" s="433" t="s">
        <v>1420</v>
      </c>
      <c r="AA18" s="433" t="s">
        <v>1036</v>
      </c>
      <c r="AB18" s="433" t="s">
        <v>1174</v>
      </c>
    </row>
    <row r="19" spans="1:28" ht="52.5">
      <c r="A19" s="458" t="s">
        <v>37</v>
      </c>
      <c r="B19" s="433" t="s">
        <v>1187</v>
      </c>
      <c r="C19" s="433" t="s">
        <v>823</v>
      </c>
      <c r="D19" s="433" t="s">
        <v>1175</v>
      </c>
      <c r="E19" s="433" t="s">
        <v>1176</v>
      </c>
      <c r="F19" s="433" t="s">
        <v>1425</v>
      </c>
      <c r="G19" s="432" t="s">
        <v>1383</v>
      </c>
      <c r="H19" s="432" t="s">
        <v>1388</v>
      </c>
      <c r="I19" s="435">
        <v>23792.957758349417</v>
      </c>
      <c r="J19" s="435" t="s">
        <v>1364</v>
      </c>
      <c r="K19" s="435">
        <v>678.02938248297505</v>
      </c>
      <c r="L19" s="433" t="s">
        <v>1177</v>
      </c>
      <c r="M19" s="433" t="s">
        <v>1173</v>
      </c>
      <c r="N19" s="433" t="s">
        <v>807</v>
      </c>
      <c r="O19" s="435">
        <v>0</v>
      </c>
      <c r="P19" s="435" t="s">
        <v>865</v>
      </c>
      <c r="R19" s="435">
        <v>16176.116999999998</v>
      </c>
      <c r="S19" s="435">
        <v>27888.85414180169</v>
      </c>
      <c r="T19" s="432" t="s">
        <v>786</v>
      </c>
      <c r="U19" s="435">
        <v>0</v>
      </c>
      <c r="V19" s="435">
        <v>0</v>
      </c>
      <c r="W19" s="435">
        <v>0</v>
      </c>
      <c r="X19" s="435">
        <v>1630.1001860806882</v>
      </c>
      <c r="Y19" s="435">
        <v>1630.1001860806882</v>
      </c>
      <c r="Z19" s="433" t="s">
        <v>1420</v>
      </c>
      <c r="AA19" s="433" t="s">
        <v>1170</v>
      </c>
      <c r="AB19" s="433" t="s">
        <v>1178</v>
      </c>
    </row>
    <row r="20" spans="1:28" ht="91.9">
      <c r="A20" s="457" t="s">
        <v>37</v>
      </c>
      <c r="B20" s="433" t="s">
        <v>1188</v>
      </c>
      <c r="C20" s="433" t="s">
        <v>390</v>
      </c>
      <c r="D20" s="433" t="s">
        <v>1179</v>
      </c>
      <c r="E20" s="433" t="s">
        <v>1180</v>
      </c>
      <c r="F20" s="433" t="s">
        <v>1425</v>
      </c>
      <c r="G20" s="432" t="s">
        <v>1364</v>
      </c>
      <c r="H20" s="432" t="s">
        <v>1386</v>
      </c>
      <c r="I20" s="435">
        <v>46837.911550989033</v>
      </c>
      <c r="J20" s="435" t="s">
        <v>1364</v>
      </c>
      <c r="K20" s="435">
        <v>2455.3053430861319</v>
      </c>
      <c r="M20" s="433" t="s">
        <v>1163</v>
      </c>
      <c r="N20" s="433" t="s">
        <v>807</v>
      </c>
      <c r="O20" s="435">
        <v>0</v>
      </c>
      <c r="P20" s="435">
        <v>0</v>
      </c>
      <c r="R20" s="435">
        <v>128622.34199999999</v>
      </c>
      <c r="S20" s="435">
        <v>167567.18699999998</v>
      </c>
      <c r="T20" s="432" t="s">
        <v>786</v>
      </c>
      <c r="U20" s="435">
        <v>0</v>
      </c>
      <c r="V20" s="435">
        <v>0</v>
      </c>
      <c r="W20" s="435">
        <v>0</v>
      </c>
      <c r="X20" s="435">
        <v>3638.1737243903854</v>
      </c>
      <c r="Y20" s="435">
        <v>3638.1737243903854</v>
      </c>
      <c r="Z20" s="433" t="s">
        <v>1420</v>
      </c>
      <c r="AA20" s="433" t="s">
        <v>1170</v>
      </c>
      <c r="AB20" s="433" t="s">
        <v>1416</v>
      </c>
    </row>
    <row r="21" spans="1:28" ht="26.25">
      <c r="A21" s="458" t="s">
        <v>37</v>
      </c>
      <c r="B21" s="433" t="s">
        <v>1189</v>
      </c>
      <c r="C21" s="433" t="s">
        <v>1181</v>
      </c>
      <c r="D21" s="433" t="s">
        <v>1182</v>
      </c>
      <c r="F21" s="433" t="s">
        <v>1425</v>
      </c>
      <c r="G21" s="432" t="s">
        <v>1367</v>
      </c>
      <c r="H21" s="432" t="s">
        <v>1388</v>
      </c>
      <c r="I21" s="435" t="s">
        <v>942</v>
      </c>
      <c r="J21" s="435" t="s">
        <v>942</v>
      </c>
      <c r="K21" s="435" t="s">
        <v>942</v>
      </c>
      <c r="M21" s="433" t="s">
        <v>1163</v>
      </c>
      <c r="N21" s="433" t="s">
        <v>807</v>
      </c>
      <c r="O21" s="435">
        <v>0</v>
      </c>
      <c r="P21" s="435">
        <v>0</v>
      </c>
      <c r="Q21" s="435">
        <v>0</v>
      </c>
      <c r="R21" s="435">
        <v>17520</v>
      </c>
      <c r="S21" s="435">
        <v>26578</v>
      </c>
      <c r="T21" s="432" t="s">
        <v>786</v>
      </c>
      <c r="U21" s="435" t="s">
        <v>807</v>
      </c>
      <c r="V21" s="435" t="s">
        <v>807</v>
      </c>
      <c r="W21" s="435" t="s">
        <v>807</v>
      </c>
      <c r="X21" s="435" t="s">
        <v>807</v>
      </c>
      <c r="Y21" s="435" t="s">
        <v>807</v>
      </c>
      <c r="Z21" s="433" t="s">
        <v>1420</v>
      </c>
      <c r="AA21" s="433" t="s">
        <v>1170</v>
      </c>
      <c r="AB21" s="433" t="s">
        <v>1417</v>
      </c>
    </row>
    <row r="22" spans="1:28">
      <c r="A22" s="457"/>
      <c r="C22" s="434" t="s">
        <v>234</v>
      </c>
      <c r="G22" s="432"/>
      <c r="H22" s="432"/>
      <c r="I22" s="435"/>
      <c r="J22" s="435"/>
      <c r="K22" s="435"/>
    </row>
    <row r="23" spans="1:28" ht="26.25">
      <c r="A23" s="458" t="s">
        <v>234</v>
      </c>
      <c r="B23" s="433" t="s">
        <v>1102</v>
      </c>
      <c r="C23" s="433" t="s">
        <v>770</v>
      </c>
      <c r="D23" s="433" t="s">
        <v>1032</v>
      </c>
      <c r="E23" s="433" t="s">
        <v>1033</v>
      </c>
      <c r="G23" s="432" t="s">
        <v>1363</v>
      </c>
      <c r="H23" s="432" t="s">
        <v>1384</v>
      </c>
      <c r="I23" s="435" t="s">
        <v>807</v>
      </c>
      <c r="J23" s="435" t="s">
        <v>807</v>
      </c>
      <c r="K23" s="435" t="s">
        <v>807</v>
      </c>
      <c r="L23" s="433" t="s">
        <v>1034</v>
      </c>
      <c r="M23" s="433" t="s">
        <v>425</v>
      </c>
      <c r="N23" s="433" t="s">
        <v>1035</v>
      </c>
      <c r="O23" s="435">
        <v>11463</v>
      </c>
      <c r="P23" s="435">
        <v>11463</v>
      </c>
      <c r="Q23" s="435">
        <v>11463</v>
      </c>
      <c r="R23" s="435">
        <v>11463</v>
      </c>
      <c r="S23" s="435">
        <v>45852</v>
      </c>
      <c r="T23" s="432" t="s">
        <v>786</v>
      </c>
      <c r="U23" s="435">
        <v>0</v>
      </c>
      <c r="V23" s="435">
        <v>0</v>
      </c>
      <c r="W23" s="435">
        <v>0</v>
      </c>
      <c r="X23" s="435">
        <v>0</v>
      </c>
      <c r="Y23" s="435">
        <v>0</v>
      </c>
      <c r="AA23" s="433" t="s">
        <v>1036</v>
      </c>
      <c r="AB23" s="433" t="s">
        <v>1037</v>
      </c>
    </row>
    <row r="24" spans="1:28" ht="26.25">
      <c r="A24" s="457" t="s">
        <v>234</v>
      </c>
      <c r="B24" s="433" t="s">
        <v>1103</v>
      </c>
      <c r="C24" s="433" t="s">
        <v>770</v>
      </c>
      <c r="D24" s="433" t="s">
        <v>1038</v>
      </c>
      <c r="E24" s="433" t="s">
        <v>1039</v>
      </c>
      <c r="G24" s="432" t="s">
        <v>1363</v>
      </c>
      <c r="H24" s="432" t="s">
        <v>1384</v>
      </c>
      <c r="I24" s="435">
        <v>7743</v>
      </c>
      <c r="J24" s="435">
        <v>2024</v>
      </c>
      <c r="K24" s="435">
        <v>1935</v>
      </c>
      <c r="L24" s="433" t="s">
        <v>1040</v>
      </c>
      <c r="M24" s="433" t="s">
        <v>425</v>
      </c>
      <c r="N24" s="433" t="s">
        <v>1041</v>
      </c>
      <c r="O24" s="435">
        <v>6733</v>
      </c>
      <c r="P24" s="435">
        <v>10122</v>
      </c>
      <c r="Q24" s="435">
        <v>11327</v>
      </c>
      <c r="R24" s="435">
        <v>11327</v>
      </c>
      <c r="S24" s="435">
        <v>39509</v>
      </c>
      <c r="T24" s="432" t="s">
        <v>786</v>
      </c>
    </row>
    <row r="25" spans="1:28" ht="26.25">
      <c r="A25" s="458" t="s">
        <v>234</v>
      </c>
      <c r="B25" s="433" t="s">
        <v>1104</v>
      </c>
      <c r="C25" s="433" t="s">
        <v>770</v>
      </c>
      <c r="D25" s="433" t="s">
        <v>1038</v>
      </c>
      <c r="E25" s="433" t="s">
        <v>1042</v>
      </c>
      <c r="G25" s="432" t="s">
        <v>1363</v>
      </c>
      <c r="H25" s="432" t="s">
        <v>1384</v>
      </c>
      <c r="I25" s="435">
        <v>100</v>
      </c>
      <c r="J25" s="435">
        <v>2024</v>
      </c>
      <c r="K25" s="435">
        <v>25</v>
      </c>
      <c r="L25" s="433" t="s">
        <v>1040</v>
      </c>
      <c r="M25" s="433" t="s">
        <v>425</v>
      </c>
      <c r="N25" s="433" t="s">
        <v>1043</v>
      </c>
      <c r="O25" s="435">
        <v>1010</v>
      </c>
      <c r="P25" s="435">
        <v>253</v>
      </c>
      <c r="Q25" s="435">
        <v>253</v>
      </c>
      <c r="R25" s="435">
        <v>253</v>
      </c>
      <c r="S25" s="435">
        <v>1769</v>
      </c>
      <c r="T25" s="432" t="s">
        <v>786</v>
      </c>
    </row>
    <row r="26" spans="1:28" ht="26.25">
      <c r="A26" s="457" t="s">
        <v>234</v>
      </c>
      <c r="B26" s="433" t="s">
        <v>1105</v>
      </c>
      <c r="C26" s="433" t="s">
        <v>770</v>
      </c>
      <c r="D26" s="433" t="s">
        <v>1044</v>
      </c>
      <c r="E26" s="433" t="s">
        <v>1045</v>
      </c>
      <c r="G26" s="432" t="s">
        <v>1363</v>
      </c>
      <c r="H26" s="432" t="s">
        <v>1384</v>
      </c>
      <c r="I26" s="435">
        <v>3600</v>
      </c>
      <c r="J26" s="435">
        <v>2025</v>
      </c>
      <c r="K26" s="435">
        <v>1800</v>
      </c>
      <c r="L26" s="433" t="s">
        <v>1040</v>
      </c>
      <c r="M26" s="433" t="s">
        <v>425</v>
      </c>
      <c r="N26" s="433" t="s">
        <v>1046</v>
      </c>
      <c r="O26" s="435">
        <v>3624</v>
      </c>
      <c r="P26" s="435">
        <v>3624</v>
      </c>
      <c r="Q26" s="435">
        <v>3624</v>
      </c>
      <c r="R26" s="435">
        <v>3624</v>
      </c>
      <c r="S26" s="435">
        <v>14496</v>
      </c>
      <c r="T26" s="432" t="s">
        <v>786</v>
      </c>
      <c r="AB26" s="433" t="s">
        <v>1421</v>
      </c>
    </row>
    <row r="27" spans="1:28">
      <c r="A27" s="458" t="s">
        <v>234</v>
      </c>
      <c r="B27" s="433" t="s">
        <v>1106</v>
      </c>
      <c r="C27" s="433" t="s">
        <v>770</v>
      </c>
      <c r="D27" s="433" t="s">
        <v>1047</v>
      </c>
      <c r="E27" s="433" t="s">
        <v>1426</v>
      </c>
      <c r="G27" s="432" t="s">
        <v>1363</v>
      </c>
      <c r="H27" s="432" t="s">
        <v>1384</v>
      </c>
      <c r="I27" s="435">
        <v>1990</v>
      </c>
      <c r="J27" s="435">
        <v>2024</v>
      </c>
      <c r="K27" s="435">
        <v>166</v>
      </c>
      <c r="L27" s="433" t="s">
        <v>1040</v>
      </c>
      <c r="M27" s="433" t="s">
        <v>425</v>
      </c>
      <c r="N27" s="433" t="s">
        <v>1048</v>
      </c>
      <c r="O27" s="435">
        <v>248</v>
      </c>
      <c r="P27" s="435" t="s">
        <v>807</v>
      </c>
      <c r="Q27" s="435" t="s">
        <v>807</v>
      </c>
      <c r="R27" s="435" t="s">
        <v>807</v>
      </c>
      <c r="S27" s="435">
        <v>248</v>
      </c>
      <c r="T27" s="432" t="s">
        <v>786</v>
      </c>
      <c r="X27" s="435">
        <v>0</v>
      </c>
      <c r="Y27" s="435">
        <v>0</v>
      </c>
    </row>
    <row r="28" spans="1:28" ht="26.25">
      <c r="A28" s="457" t="s">
        <v>234</v>
      </c>
      <c r="B28" s="433" t="s">
        <v>1107</v>
      </c>
      <c r="C28" s="433" t="s">
        <v>770</v>
      </c>
      <c r="D28" s="433" t="s">
        <v>1049</v>
      </c>
      <c r="E28" s="433" t="s">
        <v>1050</v>
      </c>
      <c r="G28" s="432" t="s">
        <v>1363</v>
      </c>
      <c r="H28" s="432" t="s">
        <v>1384</v>
      </c>
      <c r="I28" s="435">
        <v>600</v>
      </c>
      <c r="J28" s="435">
        <v>2027</v>
      </c>
      <c r="K28" s="435">
        <v>40</v>
      </c>
      <c r="L28" s="433" t="s">
        <v>1040</v>
      </c>
      <c r="M28" s="433" t="s">
        <v>425</v>
      </c>
      <c r="N28" s="433" t="s">
        <v>807</v>
      </c>
      <c r="O28" s="435">
        <v>850</v>
      </c>
      <c r="P28" s="435" t="s">
        <v>807</v>
      </c>
      <c r="Q28" s="435" t="s">
        <v>807</v>
      </c>
      <c r="R28" s="435" t="s">
        <v>807</v>
      </c>
      <c r="S28" s="435">
        <v>850</v>
      </c>
      <c r="T28" s="432" t="s">
        <v>786</v>
      </c>
      <c r="X28" s="435">
        <v>0</v>
      </c>
      <c r="Y28" s="435">
        <v>0</v>
      </c>
    </row>
    <row r="29" spans="1:28" ht="26.25">
      <c r="A29" s="458" t="s">
        <v>234</v>
      </c>
      <c r="B29" s="433" t="s">
        <v>1108</v>
      </c>
      <c r="C29" s="433" t="s">
        <v>770</v>
      </c>
      <c r="D29" s="433" t="s">
        <v>1051</v>
      </c>
      <c r="E29" s="433" t="s">
        <v>1052</v>
      </c>
      <c r="F29" s="433" t="s">
        <v>1053</v>
      </c>
      <c r="G29" s="432" t="s">
        <v>1363</v>
      </c>
      <c r="H29" s="432" t="s">
        <v>1384</v>
      </c>
      <c r="I29" s="435" t="s">
        <v>807</v>
      </c>
      <c r="J29" s="435">
        <v>2025</v>
      </c>
      <c r="K29" s="435"/>
      <c r="L29" s="433" t="s">
        <v>1040</v>
      </c>
      <c r="M29" s="433" t="s">
        <v>425</v>
      </c>
      <c r="S29" s="435">
        <v>0</v>
      </c>
      <c r="X29" s="435">
        <v>0</v>
      </c>
      <c r="Y29" s="435">
        <v>0</v>
      </c>
    </row>
    <row r="30" spans="1:28">
      <c r="A30" s="457" t="s">
        <v>234</v>
      </c>
      <c r="B30" s="433" t="s">
        <v>1109</v>
      </c>
      <c r="C30" s="433" t="s">
        <v>390</v>
      </c>
      <c r="D30" s="433" t="s">
        <v>1054</v>
      </c>
      <c r="E30" s="433" t="s">
        <v>1055</v>
      </c>
      <c r="G30" s="432" t="s">
        <v>1362</v>
      </c>
      <c r="H30" s="432" t="s">
        <v>947</v>
      </c>
      <c r="I30" s="435" t="s">
        <v>807</v>
      </c>
      <c r="J30" s="435" t="s">
        <v>807</v>
      </c>
      <c r="K30" s="435" t="s">
        <v>807</v>
      </c>
      <c r="L30" s="433" t="s">
        <v>1056</v>
      </c>
      <c r="M30" s="433" t="s">
        <v>1057</v>
      </c>
      <c r="N30" s="433" t="s">
        <v>1058</v>
      </c>
      <c r="O30" s="435">
        <v>2000</v>
      </c>
      <c r="P30" s="435" t="s">
        <v>807</v>
      </c>
      <c r="Q30" s="435" t="s">
        <v>807</v>
      </c>
      <c r="R30" s="435" t="s">
        <v>807</v>
      </c>
      <c r="S30" s="435">
        <v>2000</v>
      </c>
      <c r="T30" s="432" t="s">
        <v>786</v>
      </c>
      <c r="X30" s="435">
        <v>0</v>
      </c>
      <c r="Y30" s="435">
        <v>0</v>
      </c>
    </row>
    <row r="31" spans="1:28" ht="26.25">
      <c r="A31" s="458" t="s">
        <v>234</v>
      </c>
      <c r="B31" s="433" t="s">
        <v>1110</v>
      </c>
      <c r="C31" s="433" t="s">
        <v>390</v>
      </c>
      <c r="D31" s="433" t="s">
        <v>1059</v>
      </c>
      <c r="E31" s="433" t="s">
        <v>1060</v>
      </c>
      <c r="G31" s="432" t="s">
        <v>1362</v>
      </c>
      <c r="H31" s="432" t="s">
        <v>947</v>
      </c>
      <c r="I31" s="435"/>
      <c r="J31" s="435"/>
      <c r="K31" s="435"/>
      <c r="M31" s="433" t="s">
        <v>1057</v>
      </c>
      <c r="N31" s="433" t="s">
        <v>773</v>
      </c>
      <c r="O31" s="435">
        <v>1320</v>
      </c>
      <c r="S31" s="435">
        <v>1320</v>
      </c>
      <c r="X31" s="435">
        <v>0</v>
      </c>
      <c r="Y31" s="435">
        <v>0</v>
      </c>
      <c r="AB31" s="433" t="s">
        <v>1061</v>
      </c>
    </row>
    <row r="32" spans="1:28">
      <c r="A32" s="457" t="s">
        <v>234</v>
      </c>
      <c r="B32" s="433" t="s">
        <v>1111</v>
      </c>
      <c r="C32" s="433" t="s">
        <v>390</v>
      </c>
      <c r="D32" s="433" t="s">
        <v>1062</v>
      </c>
      <c r="E32" s="433" t="s">
        <v>1063</v>
      </c>
      <c r="G32" s="432" t="s">
        <v>947</v>
      </c>
      <c r="H32" s="432" t="s">
        <v>1363</v>
      </c>
      <c r="I32" s="435">
        <v>70</v>
      </c>
      <c r="J32" s="435">
        <v>2024</v>
      </c>
      <c r="K32" s="435">
        <v>14</v>
      </c>
      <c r="M32" s="433" t="s">
        <v>1057</v>
      </c>
      <c r="N32" s="433" t="s">
        <v>773</v>
      </c>
      <c r="P32" s="435">
        <v>50</v>
      </c>
      <c r="S32" s="435">
        <v>50</v>
      </c>
      <c r="T32" s="432" t="s">
        <v>801</v>
      </c>
      <c r="Y32" s="435">
        <v>0</v>
      </c>
    </row>
    <row r="33" spans="1:28">
      <c r="A33" s="458" t="s">
        <v>234</v>
      </c>
      <c r="B33" s="433" t="s">
        <v>1112</v>
      </c>
      <c r="C33" s="433" t="s">
        <v>390</v>
      </c>
      <c r="D33" s="433" t="s">
        <v>1062</v>
      </c>
      <c r="E33" s="433" t="s">
        <v>1064</v>
      </c>
      <c r="G33" s="432" t="s">
        <v>1363</v>
      </c>
      <c r="H33" s="432" t="s">
        <v>941</v>
      </c>
      <c r="I33" s="435">
        <v>140</v>
      </c>
      <c r="J33" s="435">
        <v>2025</v>
      </c>
      <c r="K33" s="435">
        <v>28</v>
      </c>
      <c r="M33" s="433" t="s">
        <v>1057</v>
      </c>
      <c r="N33" s="433" t="s">
        <v>773</v>
      </c>
      <c r="Q33" s="435">
        <v>100</v>
      </c>
      <c r="S33" s="435">
        <v>100</v>
      </c>
      <c r="T33" s="432" t="s">
        <v>801</v>
      </c>
      <c r="Y33" s="435">
        <v>0</v>
      </c>
    </row>
    <row r="34" spans="1:28">
      <c r="A34" s="457" t="s">
        <v>234</v>
      </c>
      <c r="B34" s="433" t="s">
        <v>1113</v>
      </c>
      <c r="C34" s="433" t="s">
        <v>390</v>
      </c>
      <c r="D34" s="433" t="s">
        <v>1062</v>
      </c>
      <c r="E34" s="433" t="s">
        <v>1065</v>
      </c>
      <c r="G34" s="432" t="s">
        <v>1363</v>
      </c>
      <c r="H34" s="432" t="s">
        <v>941</v>
      </c>
      <c r="I34" s="435">
        <v>406</v>
      </c>
      <c r="J34" s="435">
        <v>2025</v>
      </c>
      <c r="K34" s="435">
        <v>58</v>
      </c>
      <c r="M34" s="433" t="s">
        <v>1057</v>
      </c>
      <c r="N34" s="433" t="s">
        <v>773</v>
      </c>
      <c r="Q34" s="435">
        <v>225</v>
      </c>
      <c r="S34" s="435">
        <v>225</v>
      </c>
      <c r="T34" s="432" t="s">
        <v>801</v>
      </c>
      <c r="Y34" s="435">
        <v>0</v>
      </c>
    </row>
    <row r="35" spans="1:28">
      <c r="A35" s="458" t="s">
        <v>234</v>
      </c>
      <c r="B35" s="433" t="s">
        <v>1114</v>
      </c>
      <c r="C35" s="433" t="s">
        <v>459</v>
      </c>
      <c r="D35" s="433" t="s">
        <v>1066</v>
      </c>
      <c r="E35" s="433" t="s">
        <v>1067</v>
      </c>
      <c r="G35" s="432" t="s">
        <v>1363</v>
      </c>
      <c r="H35" s="432" t="s">
        <v>941</v>
      </c>
      <c r="I35" s="435" t="s">
        <v>807</v>
      </c>
      <c r="J35" s="435" t="s">
        <v>807</v>
      </c>
      <c r="K35" s="435" t="s">
        <v>807</v>
      </c>
      <c r="L35" s="433" t="s">
        <v>1068</v>
      </c>
      <c r="M35" s="433" t="s">
        <v>1057</v>
      </c>
      <c r="N35" s="433" t="s">
        <v>1069</v>
      </c>
      <c r="Q35" s="435">
        <v>2700</v>
      </c>
      <c r="S35" s="435">
        <v>2700</v>
      </c>
      <c r="X35" s="435">
        <v>0</v>
      </c>
      <c r="Y35" s="435">
        <v>0</v>
      </c>
      <c r="AB35" s="433" t="s">
        <v>1401</v>
      </c>
    </row>
    <row r="36" spans="1:28">
      <c r="A36" s="457" t="s">
        <v>234</v>
      </c>
      <c r="B36" s="433" t="s">
        <v>1115</v>
      </c>
      <c r="C36" s="433" t="s">
        <v>390</v>
      </c>
      <c r="D36" s="433" t="s">
        <v>1062</v>
      </c>
      <c r="E36" s="433" t="s">
        <v>1070</v>
      </c>
      <c r="G36" s="432" t="s">
        <v>941</v>
      </c>
      <c r="H36" s="432" t="s">
        <v>1367</v>
      </c>
      <c r="I36" s="435">
        <v>1071</v>
      </c>
      <c r="J36" s="435">
        <v>2026</v>
      </c>
      <c r="K36" s="435">
        <v>153</v>
      </c>
      <c r="M36" s="433" t="s">
        <v>1057</v>
      </c>
      <c r="N36" s="433" t="s">
        <v>773</v>
      </c>
      <c r="R36" s="435">
        <v>380</v>
      </c>
      <c r="S36" s="435">
        <v>380</v>
      </c>
      <c r="T36" s="432" t="s">
        <v>801</v>
      </c>
      <c r="Y36" s="435">
        <v>0</v>
      </c>
    </row>
    <row r="37" spans="1:28">
      <c r="A37" s="458" t="s">
        <v>234</v>
      </c>
      <c r="B37" s="433" t="s">
        <v>1116</v>
      </c>
      <c r="C37" s="433" t="s">
        <v>390</v>
      </c>
      <c r="D37" s="433" t="s">
        <v>1062</v>
      </c>
      <c r="E37" s="433" t="s">
        <v>1071</v>
      </c>
      <c r="G37" s="432" t="s">
        <v>941</v>
      </c>
      <c r="H37" s="432" t="s">
        <v>1367</v>
      </c>
      <c r="I37" s="435">
        <v>588</v>
      </c>
      <c r="J37" s="435">
        <v>2026</v>
      </c>
      <c r="K37" s="435">
        <v>49</v>
      </c>
      <c r="M37" s="433" t="s">
        <v>1057</v>
      </c>
      <c r="N37" s="433" t="s">
        <v>773</v>
      </c>
      <c r="R37" s="435">
        <v>2200</v>
      </c>
      <c r="S37" s="435">
        <v>2200</v>
      </c>
      <c r="T37" s="432" t="s">
        <v>801</v>
      </c>
      <c r="Y37" s="435">
        <v>0</v>
      </c>
    </row>
    <row r="38" spans="1:28">
      <c r="A38" s="457" t="s">
        <v>234</v>
      </c>
      <c r="B38" s="433" t="s">
        <v>1117</v>
      </c>
      <c r="C38" s="433" t="s">
        <v>390</v>
      </c>
      <c r="D38" s="433" t="s">
        <v>1062</v>
      </c>
      <c r="E38" s="433" t="s">
        <v>1072</v>
      </c>
      <c r="G38" s="432" t="s">
        <v>941</v>
      </c>
      <c r="H38" s="432" t="s">
        <v>1367</v>
      </c>
      <c r="I38" s="435">
        <v>70</v>
      </c>
      <c r="J38" s="435" t="s">
        <v>1073</v>
      </c>
      <c r="K38" s="435">
        <v>10</v>
      </c>
      <c r="M38" s="433" t="s">
        <v>1057</v>
      </c>
      <c r="N38" s="433" t="s">
        <v>773</v>
      </c>
      <c r="R38" s="435">
        <v>440</v>
      </c>
      <c r="S38" s="435">
        <v>440</v>
      </c>
      <c r="T38" s="432" t="s">
        <v>801</v>
      </c>
      <c r="Y38" s="435">
        <v>0</v>
      </c>
    </row>
    <row r="39" spans="1:28" ht="39.4">
      <c r="A39" s="458" t="s">
        <v>234</v>
      </c>
      <c r="B39" s="433" t="s">
        <v>1118</v>
      </c>
      <c r="C39" s="433" t="s">
        <v>390</v>
      </c>
      <c r="D39" s="433" t="s">
        <v>1074</v>
      </c>
      <c r="E39" s="433" t="s">
        <v>1075</v>
      </c>
      <c r="G39" s="432" t="s">
        <v>941</v>
      </c>
      <c r="H39" s="432" t="s">
        <v>1367</v>
      </c>
      <c r="I39" s="435">
        <v>0</v>
      </c>
      <c r="J39" s="435" t="s">
        <v>807</v>
      </c>
      <c r="K39" s="435">
        <v>0</v>
      </c>
      <c r="L39" s="433" t="s">
        <v>1076</v>
      </c>
      <c r="M39" s="433" t="s">
        <v>1057</v>
      </c>
      <c r="N39" s="433" t="s">
        <v>773</v>
      </c>
      <c r="R39" s="435">
        <v>3500</v>
      </c>
      <c r="S39" s="435">
        <v>3500</v>
      </c>
      <c r="T39" s="432" t="s">
        <v>786</v>
      </c>
      <c r="X39" s="435">
        <v>0</v>
      </c>
      <c r="Y39" s="435">
        <v>0</v>
      </c>
      <c r="AB39" s="433" t="s">
        <v>1429</v>
      </c>
    </row>
    <row r="40" spans="1:28">
      <c r="A40" s="457" t="s">
        <v>234</v>
      </c>
      <c r="B40" s="433" t="s">
        <v>1119</v>
      </c>
      <c r="C40" s="433" t="s">
        <v>390</v>
      </c>
      <c r="D40" s="433" t="s">
        <v>1066</v>
      </c>
      <c r="E40" s="433" t="s">
        <v>1067</v>
      </c>
      <c r="G40" s="432" t="s">
        <v>941</v>
      </c>
      <c r="H40" s="432" t="s">
        <v>1367</v>
      </c>
      <c r="I40" s="435" t="s">
        <v>807</v>
      </c>
      <c r="J40" s="435" t="s">
        <v>807</v>
      </c>
      <c r="K40" s="435" t="s">
        <v>807</v>
      </c>
      <c r="L40" s="433" t="s">
        <v>1068</v>
      </c>
      <c r="M40" s="433" t="s">
        <v>1057</v>
      </c>
      <c r="N40" s="433" t="s">
        <v>1069</v>
      </c>
      <c r="R40" s="435">
        <v>2700</v>
      </c>
      <c r="S40" s="435">
        <v>2700</v>
      </c>
      <c r="X40" s="435">
        <v>0</v>
      </c>
      <c r="Y40" s="435">
        <v>0</v>
      </c>
    </row>
    <row r="41" spans="1:28">
      <c r="A41" s="458" t="s">
        <v>234</v>
      </c>
      <c r="B41" s="433" t="s">
        <v>1120</v>
      </c>
      <c r="C41" s="433" t="s">
        <v>390</v>
      </c>
      <c r="D41" s="433" t="s">
        <v>1066</v>
      </c>
      <c r="E41" s="433" t="s">
        <v>1067</v>
      </c>
      <c r="G41" s="432" t="s">
        <v>1367</v>
      </c>
      <c r="H41" s="432" t="s">
        <v>1364</v>
      </c>
      <c r="I41" s="435" t="s">
        <v>807</v>
      </c>
      <c r="J41" s="435" t="s">
        <v>807</v>
      </c>
      <c r="K41" s="435" t="s">
        <v>807</v>
      </c>
      <c r="L41" s="433" t="s">
        <v>1068</v>
      </c>
      <c r="M41" s="433" t="s">
        <v>1057</v>
      </c>
      <c r="N41" s="433" t="s">
        <v>1069</v>
      </c>
      <c r="R41" s="435">
        <v>2700</v>
      </c>
      <c r="S41" s="435">
        <v>2700</v>
      </c>
      <c r="X41" s="435">
        <v>0</v>
      </c>
      <c r="Y41" s="435">
        <v>0</v>
      </c>
    </row>
    <row r="42" spans="1:28">
      <c r="A42" s="457" t="s">
        <v>234</v>
      </c>
      <c r="B42" s="433" t="s">
        <v>1121</v>
      </c>
      <c r="C42" s="433" t="s">
        <v>390</v>
      </c>
      <c r="D42" s="433" t="s">
        <v>1062</v>
      </c>
      <c r="E42" s="433" t="s">
        <v>1077</v>
      </c>
      <c r="G42" s="432" t="s">
        <v>1367</v>
      </c>
      <c r="H42" s="432" t="s">
        <v>1364</v>
      </c>
      <c r="I42" s="435">
        <v>658</v>
      </c>
      <c r="J42" s="435" t="s">
        <v>1078</v>
      </c>
      <c r="K42" s="435">
        <v>94</v>
      </c>
      <c r="M42" s="433" t="s">
        <v>1057</v>
      </c>
      <c r="N42" s="433" t="s">
        <v>773</v>
      </c>
      <c r="R42" s="435">
        <v>149</v>
      </c>
      <c r="S42" s="435">
        <v>149</v>
      </c>
      <c r="T42" s="432" t="s">
        <v>801</v>
      </c>
      <c r="Y42" s="435">
        <v>0</v>
      </c>
    </row>
    <row r="43" spans="1:28" ht="39.4">
      <c r="A43" s="458" t="s">
        <v>234</v>
      </c>
      <c r="B43" s="433" t="s">
        <v>1122</v>
      </c>
      <c r="C43" s="433" t="s">
        <v>390</v>
      </c>
      <c r="D43" s="433" t="s">
        <v>1074</v>
      </c>
      <c r="E43" s="433" t="s">
        <v>1075</v>
      </c>
      <c r="G43" s="432" t="s">
        <v>1367</v>
      </c>
      <c r="H43" s="432" t="s">
        <v>1364</v>
      </c>
      <c r="I43" s="435">
        <v>0</v>
      </c>
      <c r="J43" s="435" t="s">
        <v>807</v>
      </c>
      <c r="K43" s="435">
        <v>0</v>
      </c>
      <c r="L43" s="433" t="s">
        <v>1076</v>
      </c>
      <c r="M43" s="433" t="s">
        <v>1057</v>
      </c>
      <c r="N43" s="433" t="s">
        <v>773</v>
      </c>
      <c r="R43" s="435">
        <v>3500</v>
      </c>
      <c r="S43" s="435">
        <v>3500</v>
      </c>
      <c r="T43" s="432" t="s">
        <v>786</v>
      </c>
      <c r="X43" s="435">
        <v>0</v>
      </c>
      <c r="Y43" s="435">
        <v>0</v>
      </c>
      <c r="AB43" s="433" t="s">
        <v>1429</v>
      </c>
    </row>
    <row r="44" spans="1:28">
      <c r="A44" s="457" t="s">
        <v>234</v>
      </c>
      <c r="B44" s="433" t="s">
        <v>1123</v>
      </c>
      <c r="C44" s="433" t="s">
        <v>390</v>
      </c>
      <c r="D44" s="433" t="s">
        <v>1062</v>
      </c>
      <c r="E44" s="433" t="s">
        <v>1079</v>
      </c>
      <c r="G44" s="432" t="s">
        <v>1364</v>
      </c>
      <c r="H44" s="432" t="s">
        <v>1383</v>
      </c>
      <c r="I44" s="435">
        <v>0</v>
      </c>
      <c r="J44" s="435" t="s">
        <v>807</v>
      </c>
      <c r="K44" s="435">
        <v>0</v>
      </c>
      <c r="M44" s="433" t="s">
        <v>1057</v>
      </c>
      <c r="N44" s="433" t="s">
        <v>773</v>
      </c>
      <c r="R44" s="435">
        <v>572</v>
      </c>
      <c r="S44" s="435">
        <v>572</v>
      </c>
      <c r="T44" s="432" t="s">
        <v>801</v>
      </c>
      <c r="Y44" s="435">
        <v>0</v>
      </c>
    </row>
    <row r="45" spans="1:28">
      <c r="A45" s="458" t="s">
        <v>234</v>
      </c>
      <c r="B45" s="433" t="s">
        <v>1124</v>
      </c>
      <c r="C45" s="433" t="s">
        <v>459</v>
      </c>
      <c r="D45" s="433" t="s">
        <v>1066</v>
      </c>
      <c r="E45" s="433" t="s">
        <v>1067</v>
      </c>
      <c r="G45" s="432" t="s">
        <v>1364</v>
      </c>
      <c r="H45" s="432" t="s">
        <v>1383</v>
      </c>
      <c r="I45" s="435" t="s">
        <v>807</v>
      </c>
      <c r="J45" s="435" t="s">
        <v>807</v>
      </c>
      <c r="K45" s="435" t="s">
        <v>807</v>
      </c>
      <c r="L45" s="433" t="s">
        <v>1068</v>
      </c>
      <c r="M45" s="433" t="s">
        <v>1057</v>
      </c>
      <c r="N45" s="433" t="s">
        <v>1069</v>
      </c>
      <c r="R45" s="435">
        <v>2700</v>
      </c>
      <c r="S45" s="435">
        <v>2700</v>
      </c>
      <c r="Y45" s="435">
        <v>0</v>
      </c>
    </row>
    <row r="46" spans="1:28">
      <c r="A46" s="457" t="s">
        <v>234</v>
      </c>
      <c r="B46" s="433" t="s">
        <v>1125</v>
      </c>
      <c r="C46" s="433" t="s">
        <v>390</v>
      </c>
      <c r="D46" s="433" t="s">
        <v>1062</v>
      </c>
      <c r="E46" s="433" t="s">
        <v>802</v>
      </c>
      <c r="G46" s="432" t="s">
        <v>1383</v>
      </c>
      <c r="H46" s="432" t="s">
        <v>1384</v>
      </c>
      <c r="I46" s="435">
        <v>0</v>
      </c>
      <c r="J46" s="435" t="s">
        <v>807</v>
      </c>
      <c r="K46" s="435">
        <v>0</v>
      </c>
      <c r="M46" s="433" t="s">
        <v>1057</v>
      </c>
      <c r="N46" s="433" t="s">
        <v>773</v>
      </c>
      <c r="O46" s="435" t="s">
        <v>391</v>
      </c>
      <c r="P46" s="435" t="s">
        <v>391</v>
      </c>
      <c r="Q46" s="435" t="s">
        <v>391</v>
      </c>
      <c r="R46" s="435">
        <v>23</v>
      </c>
      <c r="S46" s="435">
        <v>23</v>
      </c>
      <c r="T46" s="432" t="s">
        <v>801</v>
      </c>
    </row>
    <row r="47" spans="1:28">
      <c r="A47" s="458" t="s">
        <v>234</v>
      </c>
      <c r="B47" s="433" t="s">
        <v>1126</v>
      </c>
      <c r="C47" s="433" t="s">
        <v>390</v>
      </c>
      <c r="D47" s="433" t="s">
        <v>1062</v>
      </c>
      <c r="E47" s="433" t="s">
        <v>1080</v>
      </c>
      <c r="G47" s="432" t="s">
        <v>1383</v>
      </c>
      <c r="H47" s="432" t="s">
        <v>1384</v>
      </c>
      <c r="I47" s="435">
        <v>0</v>
      </c>
      <c r="J47" s="435" t="s">
        <v>807</v>
      </c>
      <c r="K47" s="435">
        <v>0</v>
      </c>
      <c r="M47" s="433" t="s">
        <v>1057</v>
      </c>
      <c r="N47" s="433" t="s">
        <v>773</v>
      </c>
      <c r="R47" s="435">
        <v>50</v>
      </c>
      <c r="S47" s="435">
        <v>50</v>
      </c>
      <c r="T47" s="432" t="s">
        <v>801</v>
      </c>
    </row>
    <row r="48" spans="1:28">
      <c r="A48" s="457" t="s">
        <v>234</v>
      </c>
      <c r="B48" s="433" t="s">
        <v>1127</v>
      </c>
      <c r="C48" s="433" t="s">
        <v>390</v>
      </c>
      <c r="D48" s="433" t="s">
        <v>1062</v>
      </c>
      <c r="E48" s="433" t="s">
        <v>1081</v>
      </c>
      <c r="G48" s="432" t="s">
        <v>1383</v>
      </c>
      <c r="H48" s="432" t="s">
        <v>1384</v>
      </c>
      <c r="I48" s="435">
        <v>6336</v>
      </c>
      <c r="J48" s="435" t="s">
        <v>1082</v>
      </c>
      <c r="K48" s="435">
        <v>528</v>
      </c>
      <c r="M48" s="433" t="s">
        <v>1057</v>
      </c>
      <c r="N48" s="433" t="s">
        <v>773</v>
      </c>
      <c r="R48" s="435">
        <v>23320</v>
      </c>
      <c r="S48" s="435">
        <v>23320</v>
      </c>
      <c r="T48" s="432" t="s">
        <v>801</v>
      </c>
    </row>
    <row r="49" spans="1:25">
      <c r="A49" s="458" t="s">
        <v>234</v>
      </c>
      <c r="B49" s="433" t="s">
        <v>1128</v>
      </c>
      <c r="C49" s="433" t="s">
        <v>390</v>
      </c>
      <c r="D49" s="433" t="s">
        <v>1062</v>
      </c>
      <c r="E49" s="433" t="s">
        <v>1083</v>
      </c>
      <c r="G49" s="432" t="s">
        <v>1384</v>
      </c>
      <c r="H49" s="432" t="s">
        <v>1385</v>
      </c>
      <c r="I49" s="435">
        <v>4896</v>
      </c>
      <c r="J49" s="435" t="s">
        <v>1084</v>
      </c>
      <c r="K49" s="435">
        <v>408</v>
      </c>
      <c r="M49" s="433" t="s">
        <v>1057</v>
      </c>
      <c r="N49" s="433" t="s">
        <v>773</v>
      </c>
      <c r="R49" s="435">
        <v>18040</v>
      </c>
      <c r="S49" s="435">
        <v>18040</v>
      </c>
      <c r="T49" s="432" t="s">
        <v>801</v>
      </c>
    </row>
    <row r="50" spans="1:25">
      <c r="A50" s="457" t="s">
        <v>234</v>
      </c>
      <c r="B50" s="433" t="s">
        <v>1129</v>
      </c>
      <c r="C50" s="433" t="s">
        <v>390</v>
      </c>
      <c r="D50" s="433" t="s">
        <v>1062</v>
      </c>
      <c r="E50" s="433" t="s">
        <v>1085</v>
      </c>
      <c r="G50" s="432" t="s">
        <v>1384</v>
      </c>
      <c r="H50" s="432" t="s">
        <v>1385</v>
      </c>
      <c r="I50" s="435">
        <v>0</v>
      </c>
      <c r="J50" s="435" t="s">
        <v>807</v>
      </c>
      <c r="K50" s="435">
        <v>0</v>
      </c>
      <c r="M50" s="433" t="s">
        <v>1057</v>
      </c>
      <c r="N50" s="433" t="s">
        <v>773</v>
      </c>
      <c r="R50" s="435">
        <v>100</v>
      </c>
      <c r="S50" s="435">
        <v>100</v>
      </c>
      <c r="T50" s="432" t="s">
        <v>801</v>
      </c>
    </row>
    <row r="51" spans="1:25">
      <c r="A51" s="458" t="s">
        <v>234</v>
      </c>
      <c r="B51" s="433" t="s">
        <v>1130</v>
      </c>
      <c r="C51" s="433" t="s">
        <v>390</v>
      </c>
      <c r="D51" s="433" t="s">
        <v>1062</v>
      </c>
      <c r="E51" s="433" t="s">
        <v>1086</v>
      </c>
      <c r="G51" s="432" t="s">
        <v>1385</v>
      </c>
      <c r="H51" s="432" t="s">
        <v>1386</v>
      </c>
      <c r="I51" s="435">
        <v>6216</v>
      </c>
      <c r="J51" s="435" t="s">
        <v>1087</v>
      </c>
      <c r="K51" s="435">
        <v>518</v>
      </c>
      <c r="M51" s="433" t="s">
        <v>1057</v>
      </c>
      <c r="N51" s="433" t="s">
        <v>773</v>
      </c>
      <c r="R51" s="435">
        <v>22880</v>
      </c>
      <c r="S51" s="435">
        <v>22880</v>
      </c>
      <c r="T51" s="432" t="s">
        <v>801</v>
      </c>
    </row>
    <row r="52" spans="1:25">
      <c r="A52" s="457" t="s">
        <v>234</v>
      </c>
      <c r="B52" s="433" t="s">
        <v>1131</v>
      </c>
      <c r="C52" s="433" t="s">
        <v>390</v>
      </c>
      <c r="D52" s="433" t="s">
        <v>1062</v>
      </c>
      <c r="E52" s="433" t="s">
        <v>1088</v>
      </c>
      <c r="G52" s="432" t="s">
        <v>1386</v>
      </c>
      <c r="H52" s="432" t="s">
        <v>1387</v>
      </c>
      <c r="I52" s="435">
        <v>5016</v>
      </c>
      <c r="J52" s="435" t="s">
        <v>1089</v>
      </c>
      <c r="K52" s="435">
        <v>418</v>
      </c>
      <c r="M52" s="433" t="s">
        <v>1057</v>
      </c>
      <c r="N52" s="433" t="s">
        <v>773</v>
      </c>
      <c r="R52" s="435">
        <v>18480</v>
      </c>
      <c r="S52" s="435">
        <v>18480</v>
      </c>
      <c r="T52" s="432" t="s">
        <v>801</v>
      </c>
    </row>
    <row r="53" spans="1:25">
      <c r="A53" s="458" t="s">
        <v>234</v>
      </c>
      <c r="B53" s="433" t="s">
        <v>1132</v>
      </c>
      <c r="C53" s="433" t="s">
        <v>390</v>
      </c>
      <c r="D53" s="433" t="s">
        <v>1062</v>
      </c>
      <c r="E53" s="433" t="s">
        <v>1090</v>
      </c>
      <c r="G53" s="432" t="s">
        <v>1386</v>
      </c>
      <c r="H53" s="432" t="s">
        <v>1387</v>
      </c>
      <c r="I53" s="435">
        <v>70</v>
      </c>
      <c r="J53" s="435" t="s">
        <v>1089</v>
      </c>
      <c r="K53" s="435">
        <v>10</v>
      </c>
      <c r="M53" s="433" t="s">
        <v>1057</v>
      </c>
      <c r="N53" s="433" t="s">
        <v>773</v>
      </c>
      <c r="R53" s="435">
        <v>440</v>
      </c>
      <c r="S53" s="435">
        <v>440</v>
      </c>
      <c r="T53" s="432" t="s">
        <v>801</v>
      </c>
    </row>
    <row r="54" spans="1:25">
      <c r="A54" s="457" t="s">
        <v>234</v>
      </c>
      <c r="B54" s="433" t="s">
        <v>1133</v>
      </c>
      <c r="C54" s="433" t="s">
        <v>390</v>
      </c>
      <c r="D54" s="433" t="s">
        <v>1062</v>
      </c>
      <c r="E54" s="433" t="s">
        <v>1091</v>
      </c>
      <c r="G54" s="432" t="s">
        <v>1386</v>
      </c>
      <c r="H54" s="432" t="s">
        <v>1387</v>
      </c>
      <c r="I54" s="435">
        <v>70</v>
      </c>
      <c r="J54" s="435" t="s">
        <v>1089</v>
      </c>
      <c r="K54" s="435">
        <v>10</v>
      </c>
      <c r="M54" s="433" t="s">
        <v>1057</v>
      </c>
      <c r="N54" s="433" t="s">
        <v>773</v>
      </c>
      <c r="R54" s="435">
        <v>440</v>
      </c>
      <c r="S54" s="435">
        <v>440</v>
      </c>
      <c r="T54" s="432" t="s">
        <v>801</v>
      </c>
    </row>
    <row r="55" spans="1:25">
      <c r="A55" s="458" t="s">
        <v>234</v>
      </c>
      <c r="B55" s="433" t="s">
        <v>1134</v>
      </c>
      <c r="C55" s="433" t="s">
        <v>390</v>
      </c>
      <c r="D55" s="433" t="s">
        <v>1062</v>
      </c>
      <c r="E55" s="433" t="s">
        <v>1065</v>
      </c>
      <c r="G55" s="432" t="s">
        <v>1386</v>
      </c>
      <c r="H55" s="432" t="s">
        <v>1387</v>
      </c>
      <c r="I55" s="435">
        <v>0</v>
      </c>
      <c r="J55" s="435" t="s">
        <v>807</v>
      </c>
      <c r="K55" s="435">
        <v>0</v>
      </c>
      <c r="M55" s="433" t="s">
        <v>1057</v>
      </c>
      <c r="N55" s="433" t="s">
        <v>773</v>
      </c>
      <c r="R55" s="435">
        <v>225</v>
      </c>
      <c r="S55" s="435">
        <v>225</v>
      </c>
      <c r="T55" s="432" t="s">
        <v>801</v>
      </c>
    </row>
    <row r="56" spans="1:25">
      <c r="A56" s="457" t="s">
        <v>234</v>
      </c>
      <c r="B56" s="433" t="s">
        <v>1135</v>
      </c>
      <c r="C56" s="433" t="s">
        <v>390</v>
      </c>
      <c r="D56" s="433" t="s">
        <v>1062</v>
      </c>
      <c r="E56" s="433" t="s">
        <v>1092</v>
      </c>
      <c r="G56" s="432" t="s">
        <v>1387</v>
      </c>
      <c r="H56" s="432" t="s">
        <v>1388</v>
      </c>
      <c r="I56" s="435">
        <v>2148</v>
      </c>
      <c r="J56" s="435" t="s">
        <v>1093</v>
      </c>
      <c r="K56" s="435">
        <v>179</v>
      </c>
      <c r="M56" s="433" t="s">
        <v>1057</v>
      </c>
      <c r="N56" s="433" t="s">
        <v>773</v>
      </c>
      <c r="R56" s="435">
        <v>7920</v>
      </c>
      <c r="S56" s="435">
        <v>7920</v>
      </c>
      <c r="T56" s="432" t="s">
        <v>801</v>
      </c>
    </row>
    <row r="57" spans="1:25">
      <c r="A57" s="458" t="s">
        <v>234</v>
      </c>
      <c r="B57" s="433" t="s">
        <v>1136</v>
      </c>
      <c r="C57" s="433" t="s">
        <v>390</v>
      </c>
      <c r="D57" s="433" t="s">
        <v>1062</v>
      </c>
      <c r="E57" s="433" t="s">
        <v>1094</v>
      </c>
      <c r="G57" s="432" t="s">
        <v>1387</v>
      </c>
      <c r="H57" s="432" t="s">
        <v>1388</v>
      </c>
      <c r="I57" s="435">
        <v>0</v>
      </c>
      <c r="J57" s="435" t="s">
        <v>807</v>
      </c>
      <c r="K57" s="435">
        <v>0</v>
      </c>
      <c r="M57" s="433" t="s">
        <v>1057</v>
      </c>
      <c r="N57" s="433" t="s">
        <v>773</v>
      </c>
      <c r="R57" s="435">
        <v>440</v>
      </c>
      <c r="S57" s="435">
        <v>440</v>
      </c>
      <c r="T57" s="432" t="s">
        <v>801</v>
      </c>
    </row>
    <row r="58" spans="1:25">
      <c r="A58" s="457" t="s">
        <v>234</v>
      </c>
      <c r="B58" s="433" t="s">
        <v>1137</v>
      </c>
      <c r="C58" s="433" t="s">
        <v>390</v>
      </c>
      <c r="D58" s="433" t="s">
        <v>1062</v>
      </c>
      <c r="E58" s="433" t="s">
        <v>1079</v>
      </c>
      <c r="G58" s="432" t="s">
        <v>1387</v>
      </c>
      <c r="H58" s="432" t="s">
        <v>1388</v>
      </c>
      <c r="I58" s="435">
        <v>0</v>
      </c>
      <c r="J58" s="435" t="s">
        <v>807</v>
      </c>
      <c r="K58" s="435">
        <v>0</v>
      </c>
      <c r="M58" s="433" t="s">
        <v>1057</v>
      </c>
      <c r="N58" s="433" t="s">
        <v>773</v>
      </c>
      <c r="R58" s="435">
        <v>572</v>
      </c>
      <c r="S58" s="435">
        <v>572</v>
      </c>
      <c r="Y58" s="435">
        <v>0</v>
      </c>
    </row>
    <row r="59" spans="1:25">
      <c r="A59" s="458" t="s">
        <v>234</v>
      </c>
      <c r="B59" s="433" t="s">
        <v>1138</v>
      </c>
      <c r="C59" s="433" t="s">
        <v>390</v>
      </c>
      <c r="D59" s="433" t="s">
        <v>1062</v>
      </c>
      <c r="E59" s="433" t="s">
        <v>802</v>
      </c>
      <c r="F59" s="433" t="s">
        <v>391</v>
      </c>
      <c r="G59" s="432" t="s">
        <v>1388</v>
      </c>
      <c r="H59" s="432" t="s">
        <v>1389</v>
      </c>
      <c r="I59" s="435">
        <v>0</v>
      </c>
      <c r="J59" s="435" t="s">
        <v>807</v>
      </c>
      <c r="K59" s="435">
        <v>0</v>
      </c>
      <c r="M59" s="433" t="s">
        <v>1057</v>
      </c>
      <c r="N59" s="433" t="s">
        <v>807</v>
      </c>
      <c r="O59" s="435" t="s">
        <v>774</v>
      </c>
      <c r="P59" s="435" t="s">
        <v>774</v>
      </c>
      <c r="Q59" s="435" t="s">
        <v>807</v>
      </c>
      <c r="R59" s="435">
        <v>23</v>
      </c>
      <c r="S59" s="435">
        <v>23</v>
      </c>
      <c r="T59" s="432" t="s">
        <v>801</v>
      </c>
    </row>
    <row r="60" spans="1:25">
      <c r="A60" s="457" t="s">
        <v>234</v>
      </c>
      <c r="B60" s="433" t="s">
        <v>1139</v>
      </c>
      <c r="C60" s="433" t="s">
        <v>390</v>
      </c>
      <c r="D60" s="433" t="s">
        <v>1062</v>
      </c>
      <c r="E60" s="433" t="s">
        <v>1070</v>
      </c>
      <c r="G60" s="432" t="s">
        <v>1387</v>
      </c>
      <c r="H60" s="432" t="s">
        <v>1388</v>
      </c>
      <c r="I60" s="435">
        <v>0</v>
      </c>
      <c r="J60" s="435" t="s">
        <v>807</v>
      </c>
      <c r="K60" s="435">
        <v>0</v>
      </c>
      <c r="M60" s="433" t="s">
        <v>1057</v>
      </c>
      <c r="N60" s="433" t="s">
        <v>773</v>
      </c>
      <c r="R60" s="435">
        <v>380</v>
      </c>
      <c r="S60" s="435">
        <v>380</v>
      </c>
      <c r="Y60" s="435">
        <v>0</v>
      </c>
    </row>
    <row r="61" spans="1:25">
      <c r="A61" s="458" t="s">
        <v>234</v>
      </c>
      <c r="B61" s="433" t="s">
        <v>1140</v>
      </c>
      <c r="C61" s="433" t="s">
        <v>390</v>
      </c>
      <c r="D61" s="433" t="s">
        <v>1062</v>
      </c>
      <c r="E61" s="433" t="s">
        <v>1095</v>
      </c>
      <c r="G61" s="432" t="s">
        <v>1388</v>
      </c>
      <c r="H61" s="432" t="s">
        <v>1389</v>
      </c>
      <c r="I61" s="435">
        <v>1068</v>
      </c>
      <c r="J61" s="435">
        <v>2034</v>
      </c>
      <c r="K61" s="435">
        <v>89</v>
      </c>
      <c r="M61" s="433" t="s">
        <v>1057</v>
      </c>
      <c r="N61" s="433" t="s">
        <v>773</v>
      </c>
      <c r="R61" s="435">
        <v>3960</v>
      </c>
      <c r="S61" s="435">
        <v>3960</v>
      </c>
      <c r="Y61" s="435">
        <v>0</v>
      </c>
    </row>
    <row r="62" spans="1:25">
      <c r="A62" s="457" t="s">
        <v>234</v>
      </c>
      <c r="B62" s="433" t="s">
        <v>1141</v>
      </c>
      <c r="C62" s="433" t="s">
        <v>390</v>
      </c>
      <c r="D62" s="433" t="s">
        <v>1062</v>
      </c>
      <c r="E62" s="433" t="s">
        <v>1096</v>
      </c>
      <c r="G62" s="432" t="s">
        <v>1388</v>
      </c>
      <c r="H62" s="432" t="s">
        <v>1389</v>
      </c>
      <c r="I62" s="435">
        <v>360</v>
      </c>
      <c r="J62" s="435" t="s">
        <v>1097</v>
      </c>
      <c r="K62" s="435">
        <v>30</v>
      </c>
      <c r="M62" s="433" t="s">
        <v>1057</v>
      </c>
      <c r="N62" s="433" t="s">
        <v>773</v>
      </c>
      <c r="R62" s="435">
        <v>1320</v>
      </c>
      <c r="S62" s="435">
        <v>1320</v>
      </c>
      <c r="Y62" s="435">
        <v>0</v>
      </c>
    </row>
    <row r="63" spans="1:25">
      <c r="A63" s="458" t="s">
        <v>234</v>
      </c>
      <c r="B63" s="433" t="s">
        <v>1142</v>
      </c>
      <c r="C63" s="433" t="s">
        <v>390</v>
      </c>
      <c r="D63" s="433" t="s">
        <v>1062</v>
      </c>
      <c r="E63" s="433" t="s">
        <v>1098</v>
      </c>
      <c r="G63" s="432" t="s">
        <v>1388</v>
      </c>
      <c r="H63" s="432" t="s">
        <v>1389</v>
      </c>
      <c r="I63" s="435">
        <v>62</v>
      </c>
      <c r="J63" s="435" t="s">
        <v>1097</v>
      </c>
      <c r="K63" s="435">
        <v>50</v>
      </c>
      <c r="M63" s="433" t="s">
        <v>1057</v>
      </c>
      <c r="N63" s="433" t="s">
        <v>773</v>
      </c>
      <c r="R63" s="435">
        <v>2200</v>
      </c>
      <c r="S63" s="435">
        <v>2200</v>
      </c>
      <c r="Y63" s="435">
        <v>0</v>
      </c>
    </row>
    <row r="64" spans="1:25">
      <c r="A64" s="457" t="s">
        <v>234</v>
      </c>
      <c r="B64" s="433" t="s">
        <v>1143</v>
      </c>
      <c r="C64" s="433" t="s">
        <v>390</v>
      </c>
      <c r="D64" s="433" t="s">
        <v>1062</v>
      </c>
      <c r="E64" s="433" t="s">
        <v>1080</v>
      </c>
      <c r="G64" s="432" t="s">
        <v>1388</v>
      </c>
      <c r="H64" s="432" t="s">
        <v>1389</v>
      </c>
      <c r="I64" s="435">
        <v>0</v>
      </c>
      <c r="J64" s="435" t="s">
        <v>807</v>
      </c>
      <c r="K64" s="435">
        <v>0</v>
      </c>
      <c r="M64" s="433" t="s">
        <v>1057</v>
      </c>
      <c r="N64" s="433" t="s">
        <v>773</v>
      </c>
      <c r="R64" s="435">
        <v>50</v>
      </c>
      <c r="S64" s="435">
        <v>50</v>
      </c>
      <c r="Y64" s="435">
        <v>0</v>
      </c>
    </row>
    <row r="65" spans="1:28">
      <c r="A65" s="458" t="s">
        <v>234</v>
      </c>
      <c r="B65" s="433" t="s">
        <v>1144</v>
      </c>
      <c r="C65" s="433" t="s">
        <v>390</v>
      </c>
      <c r="D65" s="433" t="s">
        <v>1062</v>
      </c>
      <c r="E65" s="433" t="s">
        <v>1077</v>
      </c>
      <c r="G65" s="432" t="s">
        <v>1388</v>
      </c>
      <c r="H65" s="432" t="s">
        <v>1389</v>
      </c>
      <c r="I65" s="435">
        <v>0</v>
      </c>
      <c r="J65" s="435" t="s">
        <v>807</v>
      </c>
      <c r="K65" s="435">
        <v>0</v>
      </c>
      <c r="M65" s="433" t="s">
        <v>1057</v>
      </c>
      <c r="N65" s="433" t="s">
        <v>773</v>
      </c>
      <c r="R65" s="435">
        <v>149</v>
      </c>
      <c r="S65" s="435">
        <v>149</v>
      </c>
      <c r="Y65" s="435">
        <v>0</v>
      </c>
    </row>
    <row r="66" spans="1:28">
      <c r="A66" s="457" t="s">
        <v>234</v>
      </c>
      <c r="B66" s="433" t="s">
        <v>1145</v>
      </c>
      <c r="C66" s="433" t="s">
        <v>390</v>
      </c>
      <c r="D66" s="433" t="s">
        <v>1062</v>
      </c>
      <c r="E66" s="433" t="s">
        <v>1099</v>
      </c>
      <c r="G66" s="432" t="s">
        <v>1389</v>
      </c>
      <c r="H66" s="432" t="s">
        <v>1390</v>
      </c>
      <c r="I66" s="435">
        <v>1785</v>
      </c>
      <c r="J66" s="435" t="s">
        <v>1100</v>
      </c>
      <c r="K66" s="435">
        <v>119</v>
      </c>
      <c r="M66" s="433" t="s">
        <v>1057</v>
      </c>
      <c r="N66" s="433" t="s">
        <v>773</v>
      </c>
      <c r="R66" s="435">
        <v>5280</v>
      </c>
      <c r="S66" s="435">
        <v>5280</v>
      </c>
      <c r="Y66" s="435">
        <v>0</v>
      </c>
    </row>
    <row r="67" spans="1:28">
      <c r="A67" s="458" t="s">
        <v>234</v>
      </c>
      <c r="B67" s="433" t="s">
        <v>1146</v>
      </c>
      <c r="C67" s="433" t="s">
        <v>390</v>
      </c>
      <c r="D67" s="433" t="s">
        <v>1062</v>
      </c>
      <c r="E67" s="433" t="s">
        <v>1101</v>
      </c>
      <c r="G67" s="432" t="s">
        <v>1389</v>
      </c>
      <c r="H67" s="432" t="s">
        <v>1390</v>
      </c>
      <c r="I67" s="435">
        <v>450</v>
      </c>
      <c r="J67" s="435" t="s">
        <v>1100</v>
      </c>
      <c r="K67" s="435">
        <v>30</v>
      </c>
      <c r="M67" s="433" t="s">
        <v>1057</v>
      </c>
      <c r="N67" s="433" t="s">
        <v>773</v>
      </c>
      <c r="R67" s="435">
        <v>1320</v>
      </c>
      <c r="S67" s="435">
        <v>1320</v>
      </c>
      <c r="Y67" s="435">
        <v>0</v>
      </c>
    </row>
    <row r="68" spans="1:28">
      <c r="A68" s="457" t="s">
        <v>234</v>
      </c>
      <c r="B68" s="433" t="s">
        <v>1147</v>
      </c>
      <c r="C68" s="433" t="s">
        <v>390</v>
      </c>
      <c r="D68" s="433" t="s">
        <v>1062</v>
      </c>
      <c r="E68" s="433" t="s">
        <v>1085</v>
      </c>
      <c r="G68" s="432" t="s">
        <v>1389</v>
      </c>
      <c r="H68" s="432" t="s">
        <v>1390</v>
      </c>
      <c r="I68" s="435">
        <v>0</v>
      </c>
      <c r="J68" s="435" t="s">
        <v>807</v>
      </c>
      <c r="K68" s="435">
        <v>0</v>
      </c>
      <c r="M68" s="433" t="s">
        <v>1057</v>
      </c>
      <c r="N68" s="433" t="s">
        <v>773</v>
      </c>
      <c r="R68" s="435">
        <v>100</v>
      </c>
      <c r="S68" s="435">
        <v>100</v>
      </c>
      <c r="Y68" s="435">
        <v>0</v>
      </c>
    </row>
    <row r="69" spans="1:28">
      <c r="A69" s="458" t="s">
        <v>234</v>
      </c>
      <c r="B69" s="433" t="s">
        <v>1148</v>
      </c>
      <c r="C69" s="433" t="s">
        <v>390</v>
      </c>
      <c r="D69" s="433" t="s">
        <v>1062</v>
      </c>
      <c r="E69" s="433" t="s">
        <v>1071</v>
      </c>
      <c r="G69" s="432" t="s">
        <v>1391</v>
      </c>
      <c r="H69" s="432" t="s">
        <v>1392</v>
      </c>
      <c r="I69" s="435">
        <v>0</v>
      </c>
      <c r="J69" s="435" t="s">
        <v>807</v>
      </c>
      <c r="K69" s="435">
        <v>0</v>
      </c>
      <c r="M69" s="433" t="s">
        <v>1057</v>
      </c>
      <c r="N69" s="433" t="s">
        <v>773</v>
      </c>
      <c r="R69" s="435">
        <v>2200</v>
      </c>
      <c r="S69" s="435">
        <v>2200</v>
      </c>
      <c r="T69" s="432" t="s">
        <v>801</v>
      </c>
    </row>
    <row r="70" spans="1:28">
      <c r="A70" s="457" t="s">
        <v>234</v>
      </c>
      <c r="B70" s="433" t="s">
        <v>1149</v>
      </c>
      <c r="C70" s="433" t="s">
        <v>390</v>
      </c>
      <c r="D70" s="433" t="s">
        <v>1062</v>
      </c>
      <c r="E70" s="433" t="s">
        <v>1079</v>
      </c>
      <c r="G70" s="432" t="s">
        <v>1391</v>
      </c>
      <c r="H70" s="432" t="s">
        <v>1392</v>
      </c>
      <c r="I70" s="435">
        <v>0</v>
      </c>
      <c r="J70" s="435" t="s">
        <v>807</v>
      </c>
      <c r="K70" s="435">
        <v>0</v>
      </c>
      <c r="M70" s="433" t="s">
        <v>1057</v>
      </c>
      <c r="N70" s="433" t="s">
        <v>773</v>
      </c>
      <c r="R70" s="435">
        <v>595</v>
      </c>
      <c r="S70" s="435">
        <v>595</v>
      </c>
      <c r="Y70" s="435">
        <v>0</v>
      </c>
    </row>
    <row r="71" spans="1:28" ht="26.25">
      <c r="A71" s="458"/>
      <c r="C71" s="437" t="s">
        <v>114</v>
      </c>
      <c r="G71" s="432"/>
      <c r="H71" s="432"/>
      <c r="I71" s="435"/>
      <c r="J71" s="435"/>
      <c r="K71" s="435"/>
      <c r="AA71" s="433" t="s">
        <v>1403</v>
      </c>
    </row>
    <row r="72" spans="1:28" ht="52.5">
      <c r="A72" s="457" t="s">
        <v>114</v>
      </c>
      <c r="B72" s="433" t="s">
        <v>1240</v>
      </c>
      <c r="C72" s="433" t="s">
        <v>770</v>
      </c>
      <c r="D72" s="433" t="s">
        <v>1190</v>
      </c>
      <c r="E72" s="433" t="s">
        <v>1191</v>
      </c>
      <c r="F72" s="433" t="s">
        <v>774</v>
      </c>
      <c r="G72" s="432" t="s">
        <v>1363</v>
      </c>
      <c r="H72" s="432" t="s">
        <v>1363</v>
      </c>
      <c r="I72" s="435">
        <v>1281</v>
      </c>
      <c r="J72" s="435" t="s">
        <v>1363</v>
      </c>
      <c r="K72" s="435">
        <v>183</v>
      </c>
      <c r="L72" s="433" t="s">
        <v>1192</v>
      </c>
      <c r="M72" s="433" t="s">
        <v>392</v>
      </c>
      <c r="N72" s="433" t="s">
        <v>1193</v>
      </c>
      <c r="O72" s="435">
        <v>0</v>
      </c>
      <c r="P72" s="435">
        <v>510</v>
      </c>
      <c r="Q72" s="435">
        <v>0</v>
      </c>
      <c r="R72" s="435">
        <v>0</v>
      </c>
      <c r="S72" s="435">
        <v>510</v>
      </c>
      <c r="T72" s="432" t="s">
        <v>786</v>
      </c>
      <c r="U72" s="435">
        <v>0</v>
      </c>
      <c r="V72" s="435">
        <v>40</v>
      </c>
      <c r="W72" s="435">
        <v>78.5</v>
      </c>
      <c r="X72" s="435">
        <v>392.5</v>
      </c>
      <c r="Y72" s="435">
        <v>511</v>
      </c>
      <c r="AA72" s="433" t="s">
        <v>1196</v>
      </c>
    </row>
    <row r="73" spans="1:28" ht="78.75">
      <c r="A73" s="458" t="s">
        <v>114</v>
      </c>
      <c r="B73" s="433" t="s">
        <v>1241</v>
      </c>
      <c r="C73" s="433" t="s">
        <v>433</v>
      </c>
      <c r="D73" s="433" t="s">
        <v>1194</v>
      </c>
      <c r="E73" s="433" t="s">
        <v>1195</v>
      </c>
      <c r="F73" s="433" t="s">
        <v>1404</v>
      </c>
      <c r="G73" s="432" t="s">
        <v>1363</v>
      </c>
      <c r="H73" s="432" t="s">
        <v>1367</v>
      </c>
      <c r="I73" s="435" t="s">
        <v>774</v>
      </c>
      <c r="J73" s="435" t="s">
        <v>1363</v>
      </c>
      <c r="K73" s="435" t="s">
        <v>774</v>
      </c>
      <c r="L73" s="433" t="s">
        <v>1405</v>
      </c>
      <c r="M73" s="433" t="s">
        <v>393</v>
      </c>
      <c r="N73" s="433" t="s">
        <v>1197</v>
      </c>
      <c r="O73" s="435">
        <v>0</v>
      </c>
      <c r="P73" s="435">
        <v>50000</v>
      </c>
      <c r="Q73" s="435">
        <v>0</v>
      </c>
      <c r="R73" s="435">
        <v>0</v>
      </c>
      <c r="S73" s="435">
        <v>50000</v>
      </c>
      <c r="T73" s="432" t="s">
        <v>786</v>
      </c>
      <c r="U73" s="435">
        <v>0</v>
      </c>
      <c r="V73" s="435">
        <v>0</v>
      </c>
      <c r="W73" s="435">
        <v>0</v>
      </c>
      <c r="X73" s="435">
        <v>0</v>
      </c>
      <c r="Y73" s="435">
        <v>0</v>
      </c>
      <c r="AA73" s="433" t="s">
        <v>1203</v>
      </c>
      <c r="AB73" s="433" t="s">
        <v>1198</v>
      </c>
    </row>
    <row r="74" spans="1:28" ht="78.75">
      <c r="A74" s="457" t="s">
        <v>114</v>
      </c>
      <c r="B74" s="433" t="s">
        <v>1242</v>
      </c>
      <c r="C74" s="433" t="s">
        <v>770</v>
      </c>
      <c r="D74" s="433" t="s">
        <v>1199</v>
      </c>
      <c r="E74" s="433" t="s">
        <v>1200</v>
      </c>
      <c r="F74" s="433" t="s">
        <v>1404</v>
      </c>
      <c r="G74" s="432" t="s">
        <v>947</v>
      </c>
      <c r="H74" s="432" t="s">
        <v>1363</v>
      </c>
      <c r="I74" s="435">
        <v>7480</v>
      </c>
      <c r="J74" s="435" t="s">
        <v>947</v>
      </c>
      <c r="K74" s="435">
        <v>374</v>
      </c>
      <c r="L74" s="433" t="s">
        <v>1201</v>
      </c>
      <c r="M74" s="433" t="s">
        <v>1202</v>
      </c>
      <c r="N74" s="433" t="s">
        <v>1406</v>
      </c>
      <c r="O74" s="435">
        <v>1000</v>
      </c>
      <c r="P74" s="435">
        <v>3000</v>
      </c>
      <c r="Q74" s="435">
        <v>0</v>
      </c>
      <c r="R74" s="435">
        <v>0</v>
      </c>
      <c r="S74" s="435">
        <v>4000</v>
      </c>
      <c r="T74" s="432" t="s">
        <v>786</v>
      </c>
      <c r="U74" s="435">
        <v>300</v>
      </c>
      <c r="V74" s="435">
        <v>1000</v>
      </c>
      <c r="W74" s="435">
        <v>1000</v>
      </c>
      <c r="X74" s="435">
        <v>5000</v>
      </c>
      <c r="Y74" s="435">
        <v>7300</v>
      </c>
      <c r="AA74" s="433" t="s">
        <v>1363</v>
      </c>
    </row>
    <row r="75" spans="1:28" ht="65.650000000000006">
      <c r="A75" s="458" t="s">
        <v>114</v>
      </c>
      <c r="B75" s="433" t="s">
        <v>1243</v>
      </c>
      <c r="C75" s="433" t="s">
        <v>1204</v>
      </c>
      <c r="D75" s="433" t="s">
        <v>1205</v>
      </c>
      <c r="E75" s="433" t="s">
        <v>1206</v>
      </c>
      <c r="F75" s="433" t="s">
        <v>1407</v>
      </c>
      <c r="G75" s="432" t="s">
        <v>1363</v>
      </c>
      <c r="H75" s="432" t="s">
        <v>1363</v>
      </c>
      <c r="I75" s="435">
        <v>4900</v>
      </c>
      <c r="J75" s="435" t="s">
        <v>1363</v>
      </c>
      <c r="K75" s="435">
        <v>245</v>
      </c>
      <c r="L75" s="433" t="s">
        <v>1408</v>
      </c>
      <c r="M75" s="433" t="s">
        <v>392</v>
      </c>
      <c r="N75" s="433" t="s">
        <v>1207</v>
      </c>
      <c r="O75" s="435">
        <v>0</v>
      </c>
      <c r="P75" s="435">
        <v>650</v>
      </c>
      <c r="Q75" s="435">
        <v>0</v>
      </c>
      <c r="R75" s="435">
        <v>0</v>
      </c>
      <c r="S75" s="435">
        <v>650</v>
      </c>
      <c r="T75" s="432" t="s">
        <v>786</v>
      </c>
      <c r="U75" s="435">
        <v>0</v>
      </c>
      <c r="V75" s="435">
        <v>105</v>
      </c>
      <c r="W75" s="435">
        <v>105</v>
      </c>
      <c r="X75" s="435">
        <v>525</v>
      </c>
      <c r="Y75" s="435">
        <v>735</v>
      </c>
      <c r="AA75" s="433" t="s">
        <v>1409</v>
      </c>
    </row>
    <row r="76" spans="1:28" ht="39.4">
      <c r="A76" s="457" t="s">
        <v>114</v>
      </c>
      <c r="B76" s="433" t="s">
        <v>1244</v>
      </c>
      <c r="C76" s="433" t="s">
        <v>770</v>
      </c>
      <c r="D76" s="433" t="s">
        <v>1208</v>
      </c>
      <c r="E76" s="433" t="s">
        <v>1209</v>
      </c>
      <c r="F76" s="433" t="s">
        <v>774</v>
      </c>
      <c r="G76" s="432" t="s">
        <v>1363</v>
      </c>
      <c r="H76" s="432" t="s">
        <v>1363</v>
      </c>
      <c r="I76" s="435">
        <v>196</v>
      </c>
      <c r="J76" s="435" t="s">
        <v>1363</v>
      </c>
      <c r="K76" s="435">
        <v>28</v>
      </c>
      <c r="L76" s="433" t="s">
        <v>1210</v>
      </c>
      <c r="M76" s="433" t="s">
        <v>392</v>
      </c>
      <c r="N76" s="433" t="s">
        <v>1211</v>
      </c>
      <c r="O76" s="435">
        <v>0</v>
      </c>
      <c r="P76" s="435">
        <v>12</v>
      </c>
      <c r="Q76" s="435">
        <v>0</v>
      </c>
      <c r="R76" s="435">
        <v>0</v>
      </c>
      <c r="S76" s="435">
        <v>12</v>
      </c>
      <c r="T76" s="432" t="s">
        <v>786</v>
      </c>
      <c r="U76" s="435">
        <v>0</v>
      </c>
      <c r="V76" s="435">
        <v>6</v>
      </c>
      <c r="W76" s="435">
        <v>12</v>
      </c>
      <c r="X76" s="435">
        <v>60</v>
      </c>
      <c r="Y76" s="435">
        <v>78</v>
      </c>
      <c r="AB76" s="433" t="s">
        <v>1212</v>
      </c>
    </row>
    <row r="77" spans="1:28" ht="39.4">
      <c r="A77" s="458" t="s">
        <v>114</v>
      </c>
      <c r="B77" s="433" t="s">
        <v>1245</v>
      </c>
      <c r="C77" s="433" t="s">
        <v>770</v>
      </c>
      <c r="D77" s="433" t="s">
        <v>1213</v>
      </c>
      <c r="E77" s="433" t="s">
        <v>1214</v>
      </c>
      <c r="F77" s="433" t="s">
        <v>774</v>
      </c>
      <c r="G77" s="432">
        <v>2023</v>
      </c>
      <c r="H77" s="432">
        <v>2023</v>
      </c>
      <c r="I77" s="435" t="s">
        <v>774</v>
      </c>
      <c r="J77" s="435">
        <v>2023</v>
      </c>
      <c r="K77" s="435" t="s">
        <v>774</v>
      </c>
      <c r="L77" s="433" t="s">
        <v>1215</v>
      </c>
      <c r="M77" s="433" t="s">
        <v>1202</v>
      </c>
      <c r="N77" s="433" t="s">
        <v>1216</v>
      </c>
      <c r="O77" s="435">
        <v>19</v>
      </c>
      <c r="P77" s="435">
        <v>0</v>
      </c>
      <c r="Q77" s="435">
        <v>0</v>
      </c>
      <c r="R77" s="435">
        <v>0</v>
      </c>
      <c r="S77" s="435">
        <v>19</v>
      </c>
      <c r="T77" s="432" t="s">
        <v>786</v>
      </c>
      <c r="U77" s="435">
        <v>5</v>
      </c>
      <c r="V77" s="435">
        <v>5</v>
      </c>
      <c r="W77" s="435">
        <v>5</v>
      </c>
      <c r="X77" s="435">
        <v>25</v>
      </c>
      <c r="Y77" s="435">
        <v>40</v>
      </c>
    </row>
    <row r="78" spans="1:28" ht="52.5">
      <c r="A78" s="457" t="s">
        <v>114</v>
      </c>
      <c r="B78" s="433" t="s">
        <v>1246</v>
      </c>
      <c r="C78" s="433" t="s">
        <v>1217</v>
      </c>
      <c r="D78" s="433" t="s">
        <v>1218</v>
      </c>
      <c r="E78" s="433" t="s">
        <v>1219</v>
      </c>
      <c r="F78" s="433" t="s">
        <v>774</v>
      </c>
      <c r="G78" s="432" t="s">
        <v>774</v>
      </c>
      <c r="H78" s="432" t="s">
        <v>774</v>
      </c>
      <c r="I78" s="435" t="s">
        <v>774</v>
      </c>
      <c r="J78" s="435" t="s">
        <v>774</v>
      </c>
      <c r="K78" s="435" t="s">
        <v>774</v>
      </c>
      <c r="L78" s="433" t="s">
        <v>1220</v>
      </c>
      <c r="M78" s="433" t="s">
        <v>1202</v>
      </c>
      <c r="N78" s="433" t="s">
        <v>1221</v>
      </c>
      <c r="O78" s="435">
        <v>0</v>
      </c>
      <c r="P78" s="435">
        <v>81.316999999999993</v>
      </c>
      <c r="Q78" s="435">
        <v>0</v>
      </c>
      <c r="R78" s="435">
        <v>0</v>
      </c>
      <c r="S78" s="435">
        <v>81.316999999999993</v>
      </c>
      <c r="T78" s="432" t="s">
        <v>786</v>
      </c>
      <c r="U78" s="435">
        <v>0</v>
      </c>
      <c r="V78" s="435">
        <v>14.625</v>
      </c>
      <c r="W78" s="435">
        <v>14.625</v>
      </c>
      <c r="X78" s="435">
        <v>73.125</v>
      </c>
      <c r="Y78" s="435">
        <v>102.375</v>
      </c>
      <c r="AA78" s="433" t="s">
        <v>947</v>
      </c>
    </row>
    <row r="79" spans="1:28" ht="39.4">
      <c r="A79" s="458" t="s">
        <v>114</v>
      </c>
      <c r="B79" s="433" t="s">
        <v>1247</v>
      </c>
      <c r="C79" s="433" t="s">
        <v>1204</v>
      </c>
      <c r="D79" s="433" t="s">
        <v>1222</v>
      </c>
      <c r="E79" s="433" t="s">
        <v>1223</v>
      </c>
      <c r="F79" s="433" t="s">
        <v>1404</v>
      </c>
      <c r="G79" s="432" t="s">
        <v>1363</v>
      </c>
      <c r="H79" s="432" t="s">
        <v>941</v>
      </c>
      <c r="I79" s="435">
        <v>7628</v>
      </c>
      <c r="J79" s="435" t="s">
        <v>1363</v>
      </c>
      <c r="K79" s="435">
        <v>190.7</v>
      </c>
      <c r="L79" s="433" t="s">
        <v>1224</v>
      </c>
      <c r="M79" s="433" t="s">
        <v>1202</v>
      </c>
      <c r="N79" s="433" t="s">
        <v>1225</v>
      </c>
      <c r="O79" s="435">
        <v>178</v>
      </c>
      <c r="P79" s="435">
        <v>237</v>
      </c>
      <c r="Q79" s="435">
        <v>237</v>
      </c>
      <c r="R79" s="435">
        <v>237</v>
      </c>
      <c r="S79" s="435">
        <v>889</v>
      </c>
      <c r="T79" s="432" t="s">
        <v>786</v>
      </c>
      <c r="U79" s="435">
        <v>0</v>
      </c>
      <c r="V79" s="435">
        <v>30.922000000000001</v>
      </c>
      <c r="W79" s="435">
        <v>123.69</v>
      </c>
      <c r="X79" s="435">
        <v>618.45000000000005</v>
      </c>
      <c r="Y79" s="435">
        <v>773.06200000000001</v>
      </c>
    </row>
    <row r="80" spans="1:28" ht="26.25">
      <c r="A80" s="457" t="s">
        <v>114</v>
      </c>
      <c r="B80" s="433" t="s">
        <v>1248</v>
      </c>
      <c r="C80" s="433" t="s">
        <v>1204</v>
      </c>
      <c r="D80" s="433" t="s">
        <v>1226</v>
      </c>
      <c r="E80" s="433" t="s">
        <v>1227</v>
      </c>
      <c r="F80" s="433" t="s">
        <v>1404</v>
      </c>
      <c r="G80" s="432" t="s">
        <v>1363</v>
      </c>
      <c r="H80" s="432" t="s">
        <v>1363</v>
      </c>
      <c r="I80" s="435">
        <v>1239</v>
      </c>
      <c r="J80" s="435" t="s">
        <v>1363</v>
      </c>
      <c r="K80" s="435">
        <v>123.9</v>
      </c>
      <c r="L80" s="433" t="s">
        <v>1228</v>
      </c>
      <c r="M80" s="433" t="s">
        <v>1202</v>
      </c>
      <c r="N80" s="433" t="s">
        <v>1418</v>
      </c>
      <c r="O80" s="435">
        <v>200</v>
      </c>
      <c r="P80" s="435">
        <v>0</v>
      </c>
      <c r="Q80" s="435">
        <v>0</v>
      </c>
      <c r="R80" s="435">
        <v>0</v>
      </c>
      <c r="S80" s="435">
        <v>200</v>
      </c>
      <c r="T80" s="432" t="s">
        <v>944</v>
      </c>
      <c r="U80" s="435">
        <v>318</v>
      </c>
      <c r="V80" s="435">
        <v>318</v>
      </c>
      <c r="W80" s="435">
        <v>318</v>
      </c>
      <c r="X80" s="435">
        <v>1590</v>
      </c>
      <c r="Y80" s="435">
        <v>2544</v>
      </c>
    </row>
    <row r="81" spans="1:28" ht="91.9">
      <c r="A81" s="458" t="s">
        <v>114</v>
      </c>
      <c r="B81" s="433" t="s">
        <v>1249</v>
      </c>
      <c r="C81" s="433" t="s">
        <v>390</v>
      </c>
      <c r="D81" s="433" t="s">
        <v>1229</v>
      </c>
      <c r="E81" s="433" t="s">
        <v>1230</v>
      </c>
      <c r="F81" s="433" t="s">
        <v>774</v>
      </c>
      <c r="G81" s="432" t="s">
        <v>774</v>
      </c>
      <c r="H81" s="432" t="s">
        <v>774</v>
      </c>
      <c r="I81" s="435" t="s">
        <v>774</v>
      </c>
      <c r="J81" s="435" t="s">
        <v>774</v>
      </c>
      <c r="K81" s="435" t="s">
        <v>774</v>
      </c>
      <c r="L81" s="433" t="s">
        <v>1231</v>
      </c>
      <c r="M81" s="433" t="s">
        <v>1202</v>
      </c>
      <c r="N81" s="433" t="s">
        <v>1232</v>
      </c>
      <c r="O81" s="435">
        <v>0</v>
      </c>
      <c r="P81" s="435">
        <v>100</v>
      </c>
      <c r="Q81" s="435">
        <v>0</v>
      </c>
      <c r="R81" s="435">
        <v>0</v>
      </c>
      <c r="S81" s="435">
        <v>100</v>
      </c>
      <c r="T81" s="432" t="s">
        <v>786</v>
      </c>
      <c r="U81" s="435">
        <v>0</v>
      </c>
      <c r="V81" s="435">
        <v>15</v>
      </c>
      <c r="W81" s="435">
        <v>15</v>
      </c>
      <c r="X81" s="435">
        <v>75</v>
      </c>
      <c r="Y81" s="435">
        <v>105</v>
      </c>
    </row>
    <row r="82" spans="1:28" ht="78.75">
      <c r="A82" s="457" t="s">
        <v>114</v>
      </c>
      <c r="B82" s="433" t="s">
        <v>1250</v>
      </c>
      <c r="C82" s="438" t="s">
        <v>1233</v>
      </c>
      <c r="D82" s="433" t="s">
        <v>1234</v>
      </c>
      <c r="E82" s="433" t="s">
        <v>1235</v>
      </c>
      <c r="F82" s="433" t="s">
        <v>774</v>
      </c>
      <c r="G82" s="432" t="s">
        <v>947</v>
      </c>
      <c r="H82" s="432" t="s">
        <v>1385</v>
      </c>
      <c r="I82" s="435" t="s">
        <v>774</v>
      </c>
      <c r="J82" s="435" t="s">
        <v>947</v>
      </c>
      <c r="K82" s="435" t="s">
        <v>774</v>
      </c>
      <c r="L82" s="433" t="s">
        <v>774</v>
      </c>
      <c r="M82" s="433" t="s">
        <v>774</v>
      </c>
      <c r="O82" s="435">
        <v>50</v>
      </c>
      <c r="P82" s="435">
        <v>50</v>
      </c>
      <c r="Q82" s="435">
        <v>50</v>
      </c>
      <c r="R82" s="435">
        <v>250</v>
      </c>
      <c r="S82" s="435">
        <v>400</v>
      </c>
      <c r="T82" s="432" t="s">
        <v>884</v>
      </c>
      <c r="U82" s="435" t="s">
        <v>774</v>
      </c>
      <c r="V82" s="435" t="s">
        <v>774</v>
      </c>
      <c r="W82" s="435" t="s">
        <v>774</v>
      </c>
      <c r="X82" s="435" t="s">
        <v>774</v>
      </c>
      <c r="Y82" s="435" t="s">
        <v>774</v>
      </c>
    </row>
    <row r="83" spans="1:28" ht="26.25">
      <c r="A83" s="458" t="s">
        <v>114</v>
      </c>
      <c r="B83" s="433" t="s">
        <v>1251</v>
      </c>
      <c r="C83" s="433" t="s">
        <v>433</v>
      </c>
      <c r="D83" s="433" t="s">
        <v>1236</v>
      </c>
      <c r="E83" s="433" t="s">
        <v>1237</v>
      </c>
      <c r="F83" s="433" t="s">
        <v>774</v>
      </c>
      <c r="G83" s="432" t="s">
        <v>774</v>
      </c>
      <c r="H83" s="432" t="s">
        <v>774</v>
      </c>
      <c r="I83" s="435" t="s">
        <v>1410</v>
      </c>
      <c r="J83" s="435" t="s">
        <v>774</v>
      </c>
      <c r="K83" s="435">
        <v>2766</v>
      </c>
      <c r="M83" s="433" t="s">
        <v>1238</v>
      </c>
      <c r="N83" s="433" t="s">
        <v>1239</v>
      </c>
      <c r="O83" s="435" t="s">
        <v>774</v>
      </c>
      <c r="P83" s="435" t="s">
        <v>774</v>
      </c>
      <c r="Q83" s="435" t="s">
        <v>774</v>
      </c>
      <c r="R83" s="435" t="s">
        <v>774</v>
      </c>
      <c r="S83" s="435" t="s">
        <v>774</v>
      </c>
      <c r="T83" s="432" t="s">
        <v>774</v>
      </c>
      <c r="U83" s="435" t="s">
        <v>774</v>
      </c>
      <c r="V83" s="435" t="s">
        <v>774</v>
      </c>
      <c r="W83" s="435" t="s">
        <v>774</v>
      </c>
      <c r="X83" s="435" t="s">
        <v>774</v>
      </c>
      <c r="Y83" s="435" t="s">
        <v>774</v>
      </c>
      <c r="AA83" s="433" t="s">
        <v>774</v>
      </c>
    </row>
    <row r="84" spans="1:28">
      <c r="A84" s="457"/>
      <c r="C84" s="437" t="s">
        <v>235</v>
      </c>
      <c r="G84" s="432"/>
      <c r="H84" s="432"/>
      <c r="I84" s="435"/>
      <c r="J84" s="435"/>
      <c r="K84" s="435"/>
    </row>
    <row r="85" spans="1:28" ht="91.9">
      <c r="A85" s="458" t="s">
        <v>235</v>
      </c>
      <c r="B85" s="433" t="s">
        <v>1272</v>
      </c>
      <c r="C85" s="433" t="s">
        <v>879</v>
      </c>
      <c r="D85" s="433" t="s">
        <v>1252</v>
      </c>
      <c r="E85" s="433" t="s">
        <v>1253</v>
      </c>
      <c r="F85" s="433" t="s">
        <v>240</v>
      </c>
      <c r="G85" s="432" t="s">
        <v>947</v>
      </c>
      <c r="H85" s="432"/>
      <c r="I85" s="435">
        <v>150000</v>
      </c>
      <c r="J85" s="435" t="s">
        <v>1254</v>
      </c>
      <c r="K85" s="435">
        <v>3750</v>
      </c>
      <c r="L85" s="433" t="s">
        <v>1255</v>
      </c>
      <c r="M85" s="433" t="s">
        <v>393</v>
      </c>
      <c r="O85" s="435">
        <v>2.2999999999999998</v>
      </c>
      <c r="P85" s="435">
        <v>60</v>
      </c>
      <c r="Q85" s="435">
        <v>60</v>
      </c>
      <c r="R85" s="435">
        <v>60</v>
      </c>
      <c r="S85" s="435">
        <v>182.3</v>
      </c>
      <c r="T85" s="432" t="s">
        <v>786</v>
      </c>
      <c r="U85" s="435" t="s">
        <v>807</v>
      </c>
      <c r="V85" s="435" t="s">
        <v>807</v>
      </c>
      <c r="W85" s="435" t="s">
        <v>807</v>
      </c>
      <c r="X85" s="435" t="s">
        <v>807</v>
      </c>
      <c r="Y85" s="435" t="s">
        <v>807</v>
      </c>
      <c r="AA85" s="433" t="s">
        <v>1256</v>
      </c>
      <c r="AB85" s="433" t="s">
        <v>1257</v>
      </c>
    </row>
    <row r="86" spans="1:28" ht="39.4">
      <c r="A86" s="457" t="s">
        <v>235</v>
      </c>
      <c r="B86" s="433" t="s">
        <v>1273</v>
      </c>
      <c r="C86" s="433" t="s">
        <v>390</v>
      </c>
      <c r="D86" s="433" t="s">
        <v>1258</v>
      </c>
      <c r="E86" s="433" t="s">
        <v>1259</v>
      </c>
      <c r="F86" s="433" t="s">
        <v>1411</v>
      </c>
      <c r="G86" s="432" t="s">
        <v>774</v>
      </c>
      <c r="H86" s="432" t="s">
        <v>774</v>
      </c>
      <c r="I86" s="435" t="s">
        <v>774</v>
      </c>
      <c r="J86" s="435" t="s">
        <v>774</v>
      </c>
      <c r="K86" s="435" t="s">
        <v>774</v>
      </c>
      <c r="L86" s="433" t="s">
        <v>1260</v>
      </c>
      <c r="M86" s="433" t="s">
        <v>1261</v>
      </c>
      <c r="O86" s="435" t="s">
        <v>774</v>
      </c>
      <c r="P86" s="435" t="s">
        <v>774</v>
      </c>
      <c r="Q86" s="435" t="s">
        <v>774</v>
      </c>
      <c r="R86" s="435">
        <v>95.1</v>
      </c>
      <c r="S86" s="435">
        <v>95.1</v>
      </c>
      <c r="T86" s="432" t="s">
        <v>786</v>
      </c>
      <c r="U86" s="435" t="s">
        <v>807</v>
      </c>
      <c r="V86" s="435" t="s">
        <v>807</v>
      </c>
      <c r="W86" s="435" t="s">
        <v>807</v>
      </c>
      <c r="X86" s="435" t="s">
        <v>807</v>
      </c>
      <c r="Y86" s="435" t="s">
        <v>807</v>
      </c>
      <c r="AA86" s="433" t="s">
        <v>1159</v>
      </c>
      <c r="AB86" s="433" t="s">
        <v>1262</v>
      </c>
    </row>
    <row r="87" spans="1:28" ht="39.4">
      <c r="A87" s="458" t="s">
        <v>235</v>
      </c>
      <c r="B87" s="433" t="s">
        <v>1274</v>
      </c>
      <c r="C87" s="433" t="s">
        <v>390</v>
      </c>
      <c r="D87" s="433" t="s">
        <v>1263</v>
      </c>
      <c r="E87" s="433" t="s">
        <v>1264</v>
      </c>
      <c r="F87" s="433" t="s">
        <v>1411</v>
      </c>
      <c r="G87" s="432" t="s">
        <v>774</v>
      </c>
      <c r="H87" s="432" t="s">
        <v>774</v>
      </c>
      <c r="I87" s="435" t="s">
        <v>774</v>
      </c>
      <c r="J87" s="435" t="s">
        <v>774</v>
      </c>
      <c r="K87" s="435" t="s">
        <v>774</v>
      </c>
      <c r="L87" s="433" t="s">
        <v>1265</v>
      </c>
      <c r="M87" s="433" t="s">
        <v>1261</v>
      </c>
      <c r="O87" s="435" t="s">
        <v>774</v>
      </c>
      <c r="P87" s="435" t="s">
        <v>774</v>
      </c>
      <c r="Q87" s="435" t="s">
        <v>774</v>
      </c>
      <c r="R87" s="435">
        <v>92.5</v>
      </c>
      <c r="S87" s="435">
        <v>92.5</v>
      </c>
      <c r="T87" s="432" t="s">
        <v>786</v>
      </c>
      <c r="U87" s="435" t="s">
        <v>807</v>
      </c>
      <c r="V87" s="435" t="s">
        <v>807</v>
      </c>
      <c r="W87" s="435" t="s">
        <v>807</v>
      </c>
      <c r="X87" s="435" t="s">
        <v>807</v>
      </c>
      <c r="Y87" s="435" t="s">
        <v>807</v>
      </c>
      <c r="AA87" s="433" t="s">
        <v>1159</v>
      </c>
      <c r="AB87" s="433" t="s">
        <v>1262</v>
      </c>
    </row>
    <row r="88" spans="1:28" ht="39.4">
      <c r="A88" s="457" t="s">
        <v>235</v>
      </c>
      <c r="B88" s="433" t="s">
        <v>1275</v>
      </c>
      <c r="C88" s="433" t="s">
        <v>390</v>
      </c>
      <c r="D88" s="433" t="s">
        <v>1266</v>
      </c>
      <c r="E88" s="433" t="s">
        <v>1267</v>
      </c>
      <c r="F88" s="433" t="s">
        <v>1411</v>
      </c>
      <c r="G88" s="432" t="s">
        <v>774</v>
      </c>
      <c r="H88" s="432" t="s">
        <v>774</v>
      </c>
      <c r="I88" s="435" t="s">
        <v>774</v>
      </c>
      <c r="J88" s="435" t="s">
        <v>774</v>
      </c>
      <c r="K88" s="435" t="s">
        <v>774</v>
      </c>
      <c r="L88" s="433" t="s">
        <v>1265</v>
      </c>
      <c r="M88" s="433" t="s">
        <v>1261</v>
      </c>
      <c r="O88" s="435" t="s">
        <v>774</v>
      </c>
      <c r="P88" s="435" t="s">
        <v>774</v>
      </c>
      <c r="Q88" s="435" t="s">
        <v>774</v>
      </c>
      <c r="R88" s="435">
        <v>30.7</v>
      </c>
      <c r="S88" s="435">
        <v>30.7</v>
      </c>
      <c r="T88" s="432" t="s">
        <v>786</v>
      </c>
      <c r="U88" s="435" t="s">
        <v>807</v>
      </c>
      <c r="V88" s="435" t="s">
        <v>807</v>
      </c>
      <c r="W88" s="435" t="s">
        <v>807</v>
      </c>
      <c r="X88" s="435" t="s">
        <v>807</v>
      </c>
      <c r="Y88" s="435" t="s">
        <v>807</v>
      </c>
      <c r="AA88" s="433" t="s">
        <v>1159</v>
      </c>
      <c r="AB88" s="433" t="s">
        <v>1262</v>
      </c>
    </row>
    <row r="89" spans="1:28" ht="52.5">
      <c r="A89" s="458" t="s">
        <v>235</v>
      </c>
      <c r="B89" s="433" t="s">
        <v>1276</v>
      </c>
      <c r="C89" s="433" t="s">
        <v>1268</v>
      </c>
      <c r="D89" s="433" t="s">
        <v>1269</v>
      </c>
      <c r="E89" s="433" t="s">
        <v>1270</v>
      </c>
      <c r="F89" s="433" t="s">
        <v>1411</v>
      </c>
      <c r="G89" s="432" t="s">
        <v>774</v>
      </c>
      <c r="H89" s="432" t="s">
        <v>774</v>
      </c>
      <c r="I89" s="435" t="s">
        <v>774</v>
      </c>
      <c r="J89" s="435" t="s">
        <v>774</v>
      </c>
      <c r="K89" s="435" t="s">
        <v>774</v>
      </c>
      <c r="L89" s="433" t="s">
        <v>1271</v>
      </c>
      <c r="M89" s="433" t="s">
        <v>1261</v>
      </c>
      <c r="O89" s="435" t="s">
        <v>774</v>
      </c>
      <c r="P89" s="435" t="s">
        <v>774</v>
      </c>
      <c r="Q89" s="435" t="s">
        <v>774</v>
      </c>
      <c r="R89" s="435">
        <v>5.6</v>
      </c>
      <c r="S89" s="435">
        <v>5.6</v>
      </c>
      <c r="T89" s="432" t="s">
        <v>786</v>
      </c>
      <c r="U89" s="435" t="s">
        <v>807</v>
      </c>
      <c r="V89" s="435" t="s">
        <v>807</v>
      </c>
      <c r="W89" s="435" t="s">
        <v>807</v>
      </c>
      <c r="X89" s="435" t="s">
        <v>807</v>
      </c>
      <c r="Y89" s="435" t="s">
        <v>807</v>
      </c>
      <c r="AA89" s="433" t="s">
        <v>1159</v>
      </c>
      <c r="AB89" s="433" t="s">
        <v>1262</v>
      </c>
    </row>
    <row r="90" spans="1:28">
      <c r="A90" s="457"/>
      <c r="C90" s="437" t="s">
        <v>39</v>
      </c>
      <c r="G90" s="432"/>
      <c r="H90" s="432"/>
      <c r="I90" s="435"/>
      <c r="J90" s="435"/>
      <c r="K90" s="435"/>
    </row>
    <row r="91" spans="1:28" ht="91.9">
      <c r="A91" s="458" t="s">
        <v>39</v>
      </c>
      <c r="B91" s="433" t="s">
        <v>1311</v>
      </c>
      <c r="C91" s="433" t="s">
        <v>887</v>
      </c>
      <c r="D91" s="433" t="s">
        <v>888</v>
      </c>
      <c r="E91" s="433" t="s">
        <v>1277</v>
      </c>
      <c r="F91" s="433" t="s">
        <v>774</v>
      </c>
      <c r="G91" s="432" t="s">
        <v>947</v>
      </c>
      <c r="H91" s="432" t="s">
        <v>1385</v>
      </c>
      <c r="I91" s="435">
        <v>296774.59071675874</v>
      </c>
      <c r="J91" s="435" t="s">
        <v>890</v>
      </c>
      <c r="K91" s="435">
        <v>18930.366114194156</v>
      </c>
      <c r="L91" s="433" t="s">
        <v>1177</v>
      </c>
      <c r="M91" s="433" t="s">
        <v>1278</v>
      </c>
      <c r="O91" s="435">
        <v>0</v>
      </c>
      <c r="P91" s="435">
        <v>0</v>
      </c>
      <c r="Q91" s="435">
        <v>19000</v>
      </c>
      <c r="R91" s="435">
        <v>270000</v>
      </c>
      <c r="S91" s="466">
        <v>289000</v>
      </c>
      <c r="T91" s="432" t="s">
        <v>884</v>
      </c>
      <c r="U91" s="435">
        <v>0</v>
      </c>
      <c r="V91" s="435">
        <v>0</v>
      </c>
      <c r="W91" s="435">
        <v>0</v>
      </c>
      <c r="X91" s="435">
        <v>0</v>
      </c>
      <c r="Y91" s="435">
        <v>0</v>
      </c>
      <c r="AA91" s="433" t="s">
        <v>774</v>
      </c>
      <c r="AB91" s="433" t="s">
        <v>1400</v>
      </c>
    </row>
    <row r="92" spans="1:28">
      <c r="A92" s="457" t="s">
        <v>39</v>
      </c>
      <c r="B92" s="433" t="s">
        <v>1312</v>
      </c>
      <c r="C92" s="433" t="s">
        <v>770</v>
      </c>
      <c r="D92" s="433" t="s">
        <v>1279</v>
      </c>
      <c r="E92" s="433" t="s">
        <v>1280</v>
      </c>
      <c r="F92" s="433" t="s">
        <v>774</v>
      </c>
      <c r="G92" s="432" t="s">
        <v>947</v>
      </c>
      <c r="H92" s="432" t="s">
        <v>1385</v>
      </c>
      <c r="I92" s="435">
        <v>85455</v>
      </c>
      <c r="J92" s="435" t="s">
        <v>947</v>
      </c>
      <c r="K92" s="435">
        <v>2223.0091993788419</v>
      </c>
      <c r="L92" s="433" t="s">
        <v>1281</v>
      </c>
      <c r="M92" s="433" t="s">
        <v>1282</v>
      </c>
      <c r="O92" s="435">
        <v>3000</v>
      </c>
      <c r="P92" s="435">
        <v>9000</v>
      </c>
      <c r="Q92" s="435">
        <v>12000</v>
      </c>
      <c r="R92" s="435">
        <v>84000</v>
      </c>
      <c r="S92" s="435">
        <v>108000</v>
      </c>
      <c r="T92" s="432" t="s">
        <v>786</v>
      </c>
      <c r="U92" s="435">
        <v>180</v>
      </c>
      <c r="V92" s="435">
        <v>830</v>
      </c>
      <c r="W92" s="435">
        <v>1600</v>
      </c>
      <c r="X92" s="435">
        <v>8000</v>
      </c>
      <c r="Y92" s="435">
        <v>10610</v>
      </c>
      <c r="AA92" s="433" t="s">
        <v>774</v>
      </c>
      <c r="AB92" s="433" t="s">
        <v>1283</v>
      </c>
    </row>
    <row r="93" spans="1:28">
      <c r="A93" s="458" t="s">
        <v>39</v>
      </c>
      <c r="B93" s="433" t="s">
        <v>1313</v>
      </c>
      <c r="C93" s="433" t="s">
        <v>770</v>
      </c>
      <c r="D93" s="433" t="s">
        <v>1279</v>
      </c>
      <c r="E93" s="433" t="s">
        <v>1284</v>
      </c>
      <c r="F93" s="433" t="s">
        <v>774</v>
      </c>
      <c r="G93" s="432" t="s">
        <v>947</v>
      </c>
      <c r="H93" s="432" t="s">
        <v>1385</v>
      </c>
      <c r="I93" s="435">
        <v>68364</v>
      </c>
      <c r="J93" s="435" t="s">
        <v>947</v>
      </c>
      <c r="K93" s="435">
        <v>1778.4073595030734</v>
      </c>
      <c r="L93" s="433" t="s">
        <v>1281</v>
      </c>
      <c r="M93" s="433" t="s">
        <v>1282</v>
      </c>
      <c r="O93" s="435">
        <v>3000</v>
      </c>
      <c r="P93" s="435">
        <v>8000</v>
      </c>
      <c r="Q93" s="435">
        <v>10000</v>
      </c>
      <c r="R93" s="435">
        <v>67200</v>
      </c>
      <c r="S93" s="435">
        <v>88200</v>
      </c>
      <c r="T93" s="432" t="s">
        <v>786</v>
      </c>
      <c r="U93" s="435">
        <v>140</v>
      </c>
      <c r="V93" s="435">
        <v>670</v>
      </c>
      <c r="W93" s="435">
        <v>1280</v>
      </c>
      <c r="X93" s="435">
        <v>6400</v>
      </c>
      <c r="Y93" s="435">
        <v>8490</v>
      </c>
      <c r="AA93" s="433" t="s">
        <v>774</v>
      </c>
      <c r="AB93" s="433" t="s">
        <v>1283</v>
      </c>
    </row>
    <row r="94" spans="1:28">
      <c r="A94" s="457" t="s">
        <v>39</v>
      </c>
      <c r="B94" s="433" t="s">
        <v>1314</v>
      </c>
      <c r="C94" s="433" t="s">
        <v>770</v>
      </c>
      <c r="D94" s="433" t="s">
        <v>1279</v>
      </c>
      <c r="E94" s="433" t="s">
        <v>1285</v>
      </c>
      <c r="F94" s="433" t="s">
        <v>774</v>
      </c>
      <c r="G94" s="432" t="s">
        <v>947</v>
      </c>
      <c r="H94" s="432" t="s">
        <v>1385</v>
      </c>
      <c r="I94" s="435">
        <v>41506.71428571429</v>
      </c>
      <c r="J94" s="435" t="s">
        <v>947</v>
      </c>
      <c r="K94" s="435">
        <v>1079.7473254125805</v>
      </c>
      <c r="L94" s="433" t="s">
        <v>1281</v>
      </c>
      <c r="M94" s="433" t="s">
        <v>1282</v>
      </c>
      <c r="O94" s="435">
        <v>2000</v>
      </c>
      <c r="P94" s="435">
        <v>5000</v>
      </c>
      <c r="Q94" s="435">
        <v>6000</v>
      </c>
      <c r="R94" s="435">
        <v>40800</v>
      </c>
      <c r="S94" s="435">
        <v>53800</v>
      </c>
      <c r="T94" s="432" t="s">
        <v>786</v>
      </c>
      <c r="U94" s="435">
        <v>80</v>
      </c>
      <c r="V94" s="435">
        <v>400</v>
      </c>
      <c r="W94" s="435">
        <v>770</v>
      </c>
      <c r="X94" s="435">
        <v>3850</v>
      </c>
      <c r="Y94" s="435">
        <v>5100</v>
      </c>
      <c r="AA94" s="433" t="s">
        <v>774</v>
      </c>
      <c r="AB94" s="433" t="s">
        <v>1283</v>
      </c>
    </row>
    <row r="95" spans="1:28">
      <c r="A95" s="458" t="s">
        <v>39</v>
      </c>
      <c r="B95" s="433" t="s">
        <v>1315</v>
      </c>
      <c r="C95" s="433" t="s">
        <v>770</v>
      </c>
      <c r="D95" s="433" t="s">
        <v>1279</v>
      </c>
      <c r="E95" s="433" t="s">
        <v>1286</v>
      </c>
      <c r="F95" s="433" t="s">
        <v>774</v>
      </c>
      <c r="G95" s="432" t="s">
        <v>947</v>
      </c>
      <c r="H95" s="432" t="s">
        <v>1385</v>
      </c>
      <c r="I95" s="435">
        <v>24415.714285714283</v>
      </c>
      <c r="J95" s="435" t="s">
        <v>947</v>
      </c>
      <c r="K95" s="435">
        <v>635.14548553681198</v>
      </c>
      <c r="L95" s="433" t="s">
        <v>1281</v>
      </c>
      <c r="M95" s="433" t="s">
        <v>1282</v>
      </c>
      <c r="O95" s="435">
        <v>1000</v>
      </c>
      <c r="P95" s="435">
        <v>3000</v>
      </c>
      <c r="Q95" s="435">
        <v>4000</v>
      </c>
      <c r="R95" s="435">
        <v>24000</v>
      </c>
      <c r="S95" s="435">
        <v>32000</v>
      </c>
      <c r="T95" s="432" t="s">
        <v>786</v>
      </c>
      <c r="U95" s="435">
        <v>50</v>
      </c>
      <c r="V95" s="435">
        <v>230</v>
      </c>
      <c r="W95" s="435">
        <v>450</v>
      </c>
      <c r="X95" s="435">
        <v>2250</v>
      </c>
      <c r="Y95" s="435">
        <v>2980</v>
      </c>
      <c r="AA95" s="433" t="s">
        <v>774</v>
      </c>
      <c r="AB95" s="433" t="s">
        <v>1283</v>
      </c>
    </row>
    <row r="96" spans="1:28">
      <c r="A96" s="457" t="s">
        <v>39</v>
      </c>
      <c r="B96" s="433" t="s">
        <v>1316</v>
      </c>
      <c r="C96" s="433" t="s">
        <v>770</v>
      </c>
      <c r="D96" s="433" t="s">
        <v>1279</v>
      </c>
      <c r="E96" s="433" t="s">
        <v>1287</v>
      </c>
      <c r="F96" s="433" t="s">
        <v>774</v>
      </c>
      <c r="G96" s="432" t="s">
        <v>947</v>
      </c>
      <c r="H96" s="432" t="s">
        <v>1385</v>
      </c>
      <c r="I96" s="435">
        <v>4883.1428571428578</v>
      </c>
      <c r="J96" s="435" t="s">
        <v>947</v>
      </c>
      <c r="K96" s="435">
        <v>127.0290971073624</v>
      </c>
      <c r="L96" s="433" t="s">
        <v>1281</v>
      </c>
      <c r="M96" s="433" t="s">
        <v>1282</v>
      </c>
      <c r="O96" s="435">
        <v>1000</v>
      </c>
      <c r="P96" s="435">
        <v>1000</v>
      </c>
      <c r="Q96" s="435">
        <v>1000</v>
      </c>
      <c r="R96" s="435">
        <v>4800</v>
      </c>
      <c r="S96" s="435">
        <v>7800</v>
      </c>
      <c r="T96" s="432" t="s">
        <v>786</v>
      </c>
      <c r="U96" s="435">
        <v>10</v>
      </c>
      <c r="V96" s="435">
        <v>40</v>
      </c>
      <c r="W96" s="435">
        <v>90</v>
      </c>
      <c r="X96" s="435">
        <v>450</v>
      </c>
      <c r="Y96" s="435">
        <v>590</v>
      </c>
      <c r="AA96" s="433" t="s">
        <v>774</v>
      </c>
      <c r="AB96" s="433" t="s">
        <v>1283</v>
      </c>
    </row>
    <row r="97" spans="1:28" ht="39.4">
      <c r="A97" s="458" t="s">
        <v>39</v>
      </c>
      <c r="B97" s="433" t="s">
        <v>1317</v>
      </c>
      <c r="C97" s="433" t="s">
        <v>770</v>
      </c>
      <c r="D97" s="433" t="s">
        <v>1279</v>
      </c>
      <c r="E97" s="433" t="s">
        <v>1288</v>
      </c>
      <c r="F97" s="433" t="s">
        <v>774</v>
      </c>
      <c r="G97" s="432" t="s">
        <v>947</v>
      </c>
      <c r="H97" s="432" t="s">
        <v>1385</v>
      </c>
      <c r="I97" s="435">
        <v>31740.428571428572</v>
      </c>
      <c r="J97" s="435" t="s">
        <v>947</v>
      </c>
      <c r="K97" s="435">
        <v>825.68913119785554</v>
      </c>
      <c r="L97" s="433" t="s">
        <v>1281</v>
      </c>
      <c r="M97" s="433" t="s">
        <v>1282</v>
      </c>
      <c r="O97" s="435">
        <v>2000</v>
      </c>
      <c r="P97" s="435">
        <v>4000</v>
      </c>
      <c r="Q97" s="435">
        <v>5000</v>
      </c>
      <c r="R97" s="435">
        <v>31200</v>
      </c>
      <c r="S97" s="435">
        <v>42200</v>
      </c>
      <c r="T97" s="432" t="s">
        <v>786</v>
      </c>
      <c r="U97" s="435">
        <v>60</v>
      </c>
      <c r="V97" s="435">
        <v>310</v>
      </c>
      <c r="W97" s="435">
        <v>590</v>
      </c>
      <c r="X97" s="435">
        <v>2950</v>
      </c>
      <c r="Y97" s="435">
        <v>3910</v>
      </c>
      <c r="AA97" s="433" t="s">
        <v>774</v>
      </c>
      <c r="AB97" s="433" t="s">
        <v>1283</v>
      </c>
    </row>
    <row r="98" spans="1:28">
      <c r="A98" s="457" t="s">
        <v>39</v>
      </c>
      <c r="B98" s="433" t="s">
        <v>1318</v>
      </c>
      <c r="C98" s="433" t="s">
        <v>770</v>
      </c>
      <c r="D98" s="433" t="s">
        <v>1289</v>
      </c>
      <c r="E98" s="433" t="s">
        <v>1280</v>
      </c>
      <c r="F98" s="433" t="s">
        <v>774</v>
      </c>
      <c r="G98" s="432" t="s">
        <v>947</v>
      </c>
      <c r="H98" s="432" t="s">
        <v>1385</v>
      </c>
      <c r="I98" s="435">
        <v>85455</v>
      </c>
      <c r="J98" s="435" t="s">
        <v>947</v>
      </c>
      <c r="K98" s="435">
        <v>2223.0091993788419</v>
      </c>
      <c r="L98" s="433" t="s">
        <v>1281</v>
      </c>
      <c r="M98" s="433" t="s">
        <v>1282</v>
      </c>
      <c r="O98" s="435">
        <v>9000</v>
      </c>
      <c r="P98" s="435">
        <v>27000</v>
      </c>
      <c r="Q98" s="435">
        <v>36000</v>
      </c>
      <c r="R98" s="435">
        <v>252000</v>
      </c>
      <c r="S98" s="435">
        <v>324000</v>
      </c>
      <c r="T98" s="432" t="s">
        <v>786</v>
      </c>
      <c r="U98" s="435">
        <v>180</v>
      </c>
      <c r="V98" s="435">
        <v>830</v>
      </c>
      <c r="W98" s="435">
        <v>1600</v>
      </c>
      <c r="X98" s="435">
        <v>8000</v>
      </c>
      <c r="Y98" s="435">
        <v>10610</v>
      </c>
      <c r="AA98" s="433" t="s">
        <v>774</v>
      </c>
      <c r="AB98" s="433" t="s">
        <v>1283</v>
      </c>
    </row>
    <row r="99" spans="1:28">
      <c r="A99" s="458" t="s">
        <v>39</v>
      </c>
      <c r="B99" s="433" t="s">
        <v>1319</v>
      </c>
      <c r="C99" s="433" t="s">
        <v>770</v>
      </c>
      <c r="D99" s="433" t="s">
        <v>1289</v>
      </c>
      <c r="E99" s="433" t="s">
        <v>1284</v>
      </c>
      <c r="F99" s="433" t="s">
        <v>774</v>
      </c>
      <c r="G99" s="432" t="s">
        <v>947</v>
      </c>
      <c r="H99" s="432" t="s">
        <v>1385</v>
      </c>
      <c r="I99" s="435">
        <v>68364</v>
      </c>
      <c r="J99" s="435" t="s">
        <v>947</v>
      </c>
      <c r="K99" s="435">
        <v>1778.4073595030734</v>
      </c>
      <c r="L99" s="433" t="s">
        <v>1281</v>
      </c>
      <c r="M99" s="433" t="s">
        <v>1282</v>
      </c>
      <c r="O99" s="435">
        <v>8000</v>
      </c>
      <c r="P99" s="435">
        <v>22000</v>
      </c>
      <c r="Q99" s="435">
        <v>29000</v>
      </c>
      <c r="R99" s="435">
        <v>201600</v>
      </c>
      <c r="S99" s="435">
        <v>260600</v>
      </c>
      <c r="T99" s="432" t="s">
        <v>786</v>
      </c>
      <c r="U99" s="435">
        <v>140</v>
      </c>
      <c r="V99" s="435">
        <v>670</v>
      </c>
      <c r="W99" s="435">
        <v>1280</v>
      </c>
      <c r="X99" s="435">
        <v>6400</v>
      </c>
      <c r="Y99" s="435">
        <v>8490</v>
      </c>
      <c r="AA99" s="433" t="s">
        <v>774</v>
      </c>
      <c r="AB99" s="433" t="s">
        <v>1283</v>
      </c>
    </row>
    <row r="100" spans="1:28">
      <c r="A100" s="457" t="s">
        <v>39</v>
      </c>
      <c r="B100" s="433" t="s">
        <v>1320</v>
      </c>
      <c r="C100" s="433" t="s">
        <v>770</v>
      </c>
      <c r="D100" s="433" t="s">
        <v>1289</v>
      </c>
      <c r="E100" s="433" t="s">
        <v>1285</v>
      </c>
      <c r="F100" s="433" t="s">
        <v>774</v>
      </c>
      <c r="G100" s="432" t="s">
        <v>947</v>
      </c>
      <c r="H100" s="432" t="s">
        <v>1385</v>
      </c>
      <c r="I100" s="435">
        <v>41506.71428571429</v>
      </c>
      <c r="J100" s="435" t="s">
        <v>947</v>
      </c>
      <c r="K100" s="435">
        <v>1079.7473254125805</v>
      </c>
      <c r="L100" s="433" t="s">
        <v>1281</v>
      </c>
      <c r="M100" s="433" t="s">
        <v>1282</v>
      </c>
      <c r="O100" s="435">
        <v>5000</v>
      </c>
      <c r="P100" s="435">
        <v>14000</v>
      </c>
      <c r="Q100" s="435">
        <v>18000</v>
      </c>
      <c r="R100" s="435">
        <v>122400</v>
      </c>
      <c r="S100" s="435">
        <v>159400</v>
      </c>
      <c r="T100" s="432" t="s">
        <v>786</v>
      </c>
      <c r="U100" s="435">
        <v>80</v>
      </c>
      <c r="V100" s="435">
        <v>400</v>
      </c>
      <c r="W100" s="435">
        <v>770</v>
      </c>
      <c r="X100" s="435">
        <v>3850</v>
      </c>
      <c r="Y100" s="435">
        <v>5100</v>
      </c>
      <c r="AA100" s="433" t="s">
        <v>774</v>
      </c>
      <c r="AB100" s="433" t="s">
        <v>1283</v>
      </c>
    </row>
    <row r="101" spans="1:28">
      <c r="A101" s="458" t="s">
        <v>39</v>
      </c>
      <c r="B101" s="433" t="s">
        <v>1321</v>
      </c>
      <c r="C101" s="433" t="s">
        <v>770</v>
      </c>
      <c r="D101" s="433" t="s">
        <v>1289</v>
      </c>
      <c r="E101" s="433" t="s">
        <v>1286</v>
      </c>
      <c r="F101" s="433" t="s">
        <v>774</v>
      </c>
      <c r="G101" s="432" t="s">
        <v>947</v>
      </c>
      <c r="H101" s="432" t="s">
        <v>1385</v>
      </c>
      <c r="I101" s="435">
        <v>24415.714285714283</v>
      </c>
      <c r="J101" s="435" t="s">
        <v>947</v>
      </c>
      <c r="K101" s="435">
        <v>635.14548553681198</v>
      </c>
      <c r="L101" s="433" t="s">
        <v>1281</v>
      </c>
      <c r="M101" s="433" t="s">
        <v>1282</v>
      </c>
      <c r="O101" s="435">
        <v>3000</v>
      </c>
      <c r="P101" s="435">
        <v>8000</v>
      </c>
      <c r="Q101" s="435">
        <v>11000</v>
      </c>
      <c r="R101" s="435">
        <v>72000</v>
      </c>
      <c r="S101" s="435">
        <v>94000</v>
      </c>
      <c r="T101" s="432" t="s">
        <v>786</v>
      </c>
      <c r="U101" s="435">
        <v>50</v>
      </c>
      <c r="V101" s="435">
        <v>230</v>
      </c>
      <c r="W101" s="435">
        <v>450</v>
      </c>
      <c r="X101" s="435">
        <v>2250</v>
      </c>
      <c r="Y101" s="435">
        <v>2980</v>
      </c>
      <c r="AA101" s="433" t="s">
        <v>774</v>
      </c>
      <c r="AB101" s="433" t="s">
        <v>1283</v>
      </c>
    </row>
    <row r="102" spans="1:28">
      <c r="A102" s="457" t="s">
        <v>39</v>
      </c>
      <c r="B102" s="433" t="s">
        <v>1322</v>
      </c>
      <c r="C102" s="433" t="s">
        <v>770</v>
      </c>
      <c r="D102" s="433" t="s">
        <v>1289</v>
      </c>
      <c r="E102" s="433" t="s">
        <v>1287</v>
      </c>
      <c r="F102" s="433" t="s">
        <v>774</v>
      </c>
      <c r="G102" s="432" t="s">
        <v>947</v>
      </c>
      <c r="H102" s="432" t="s">
        <v>1385</v>
      </c>
      <c r="I102" s="435">
        <v>4883.1428571428578</v>
      </c>
      <c r="J102" s="435" t="s">
        <v>947</v>
      </c>
      <c r="K102" s="435">
        <v>127.0290971073624</v>
      </c>
      <c r="L102" s="433" t="s">
        <v>1281</v>
      </c>
      <c r="M102" s="433" t="s">
        <v>1282</v>
      </c>
      <c r="O102" s="435">
        <v>1000</v>
      </c>
      <c r="P102" s="435">
        <v>2000</v>
      </c>
      <c r="Q102" s="435">
        <v>3000</v>
      </c>
      <c r="R102" s="435">
        <v>14400.000000000002</v>
      </c>
      <c r="S102" s="435">
        <v>20400</v>
      </c>
      <c r="T102" s="432" t="s">
        <v>786</v>
      </c>
      <c r="U102" s="435">
        <v>10</v>
      </c>
      <c r="V102" s="435">
        <v>40</v>
      </c>
      <c r="W102" s="435">
        <v>90</v>
      </c>
      <c r="X102" s="435">
        <v>450</v>
      </c>
      <c r="Y102" s="435">
        <v>590</v>
      </c>
      <c r="AA102" s="433" t="s">
        <v>774</v>
      </c>
      <c r="AB102" s="433" t="s">
        <v>1283</v>
      </c>
    </row>
    <row r="103" spans="1:28" ht="39.4">
      <c r="A103" s="458" t="s">
        <v>39</v>
      </c>
      <c r="B103" s="433" t="s">
        <v>1323</v>
      </c>
      <c r="C103" s="433" t="s">
        <v>770</v>
      </c>
      <c r="D103" s="433" t="s">
        <v>1289</v>
      </c>
      <c r="E103" s="433" t="s">
        <v>1288</v>
      </c>
      <c r="F103" s="433" t="s">
        <v>774</v>
      </c>
      <c r="G103" s="432" t="s">
        <v>947</v>
      </c>
      <c r="H103" s="432" t="s">
        <v>1385</v>
      </c>
      <c r="I103" s="435">
        <v>31740.428571428572</v>
      </c>
      <c r="J103" s="435" t="s">
        <v>947</v>
      </c>
      <c r="K103" s="435">
        <v>825.68913119785554</v>
      </c>
      <c r="L103" s="433" t="s">
        <v>1281</v>
      </c>
      <c r="M103" s="433" t="s">
        <v>1282</v>
      </c>
      <c r="O103" s="435">
        <v>4000</v>
      </c>
      <c r="P103" s="435">
        <v>11000</v>
      </c>
      <c r="Q103" s="435">
        <v>14000</v>
      </c>
      <c r="R103" s="435">
        <v>93600</v>
      </c>
      <c r="S103" s="435">
        <v>122600</v>
      </c>
      <c r="T103" s="432" t="s">
        <v>786</v>
      </c>
      <c r="U103" s="435">
        <v>60</v>
      </c>
      <c r="V103" s="435">
        <v>310</v>
      </c>
      <c r="W103" s="435">
        <v>590</v>
      </c>
      <c r="X103" s="435">
        <v>2950</v>
      </c>
      <c r="Y103" s="435">
        <v>3910</v>
      </c>
      <c r="AA103" s="433" t="s">
        <v>774</v>
      </c>
      <c r="AB103" s="433" t="s">
        <v>1283</v>
      </c>
    </row>
    <row r="104" spans="1:28">
      <c r="A104" s="457" t="s">
        <v>39</v>
      </c>
      <c r="B104" s="433" t="s">
        <v>1324</v>
      </c>
      <c r="C104" s="433" t="s">
        <v>915</v>
      </c>
      <c r="D104" s="433" t="s">
        <v>1290</v>
      </c>
      <c r="E104" s="433" t="s">
        <v>1291</v>
      </c>
      <c r="F104" s="433" t="s">
        <v>774</v>
      </c>
      <c r="G104" s="432" t="s">
        <v>947</v>
      </c>
      <c r="H104" s="432" t="s">
        <v>1367</v>
      </c>
      <c r="I104" s="435">
        <v>7046</v>
      </c>
      <c r="J104" s="435" t="s">
        <v>1363</v>
      </c>
      <c r="K104" s="435">
        <v>516</v>
      </c>
      <c r="M104" s="433" t="s">
        <v>1292</v>
      </c>
      <c r="O104" s="435">
        <v>1000</v>
      </c>
      <c r="P104" s="435">
        <v>1000</v>
      </c>
      <c r="Q104" s="435">
        <v>1000</v>
      </c>
      <c r="R104" s="435">
        <v>0</v>
      </c>
      <c r="S104" s="435">
        <v>3000</v>
      </c>
      <c r="T104" s="432" t="s">
        <v>786</v>
      </c>
      <c r="U104" s="435">
        <v>228</v>
      </c>
      <c r="V104" s="435">
        <v>436</v>
      </c>
      <c r="W104" s="435">
        <v>536</v>
      </c>
      <c r="X104" s="435">
        <v>426</v>
      </c>
      <c r="Y104" s="435">
        <v>1626</v>
      </c>
      <c r="AA104" s="433" t="s">
        <v>774</v>
      </c>
      <c r="AB104" s="433" t="s">
        <v>1293</v>
      </c>
    </row>
    <row r="105" spans="1:28" ht="105">
      <c r="A105" s="458" t="s">
        <v>39</v>
      </c>
      <c r="B105" s="433" t="s">
        <v>1325</v>
      </c>
      <c r="C105" s="433" t="s">
        <v>1294</v>
      </c>
      <c r="D105" s="433" t="s">
        <v>1295</v>
      </c>
      <c r="E105" s="433" t="s">
        <v>1296</v>
      </c>
      <c r="F105" s="433" t="s">
        <v>774</v>
      </c>
      <c r="G105" s="432" t="s">
        <v>947</v>
      </c>
      <c r="H105" s="432" t="s">
        <v>1385</v>
      </c>
      <c r="I105" s="435">
        <v>15000</v>
      </c>
      <c r="J105" s="435" t="s">
        <v>947</v>
      </c>
      <c r="K105" s="435">
        <v>600</v>
      </c>
      <c r="L105" s="433" t="s">
        <v>1297</v>
      </c>
      <c r="M105" s="433" t="s">
        <v>1298</v>
      </c>
      <c r="O105" s="435">
        <v>250</v>
      </c>
      <c r="P105" s="435">
        <v>1000</v>
      </c>
      <c r="Q105" s="435">
        <v>2000</v>
      </c>
      <c r="R105" s="435">
        <v>8000</v>
      </c>
      <c r="S105" s="435">
        <v>11250</v>
      </c>
      <c r="T105" s="432" t="s">
        <v>786</v>
      </c>
      <c r="U105" s="435">
        <v>700</v>
      </c>
      <c r="V105" s="435">
        <v>700</v>
      </c>
      <c r="W105" s="435">
        <v>1000</v>
      </c>
      <c r="X105" s="435">
        <v>8000</v>
      </c>
      <c r="Y105" s="435">
        <v>10400</v>
      </c>
      <c r="AA105" s="433" t="s">
        <v>774</v>
      </c>
      <c r="AB105" s="433" t="s">
        <v>1299</v>
      </c>
    </row>
    <row r="106" spans="1:28" ht="26.25">
      <c r="A106" s="457" t="s">
        <v>39</v>
      </c>
      <c r="B106" s="433" t="s">
        <v>1326</v>
      </c>
      <c r="C106" s="433" t="s">
        <v>904</v>
      </c>
      <c r="D106" s="433" t="s">
        <v>888</v>
      </c>
      <c r="E106" s="433" t="s">
        <v>1300</v>
      </c>
      <c r="F106" s="433" t="s">
        <v>774</v>
      </c>
      <c r="G106" s="432" t="s">
        <v>1367</v>
      </c>
      <c r="H106" s="432" t="s">
        <v>1385</v>
      </c>
      <c r="I106" s="435" t="s">
        <v>774</v>
      </c>
      <c r="J106" s="435">
        <v>2030</v>
      </c>
      <c r="K106" s="435" t="s">
        <v>774</v>
      </c>
      <c r="L106" s="433" t="s">
        <v>1177</v>
      </c>
      <c r="M106" s="433" t="s">
        <v>1301</v>
      </c>
      <c r="O106" s="435">
        <v>0</v>
      </c>
      <c r="P106" s="435">
        <v>0</v>
      </c>
      <c r="Q106" s="435">
        <v>0</v>
      </c>
      <c r="R106" s="435">
        <v>4500</v>
      </c>
      <c r="S106" s="435">
        <v>4500</v>
      </c>
      <c r="T106" s="432" t="s">
        <v>786</v>
      </c>
      <c r="U106" s="435">
        <v>0</v>
      </c>
      <c r="V106" s="435">
        <v>0</v>
      </c>
      <c r="W106" s="435">
        <v>0</v>
      </c>
      <c r="X106" s="435">
        <v>0</v>
      </c>
      <c r="Y106" s="435">
        <v>0</v>
      </c>
      <c r="AA106" s="433" t="s">
        <v>774</v>
      </c>
      <c r="AB106" s="433" t="s">
        <v>1302</v>
      </c>
    </row>
    <row r="107" spans="1:28">
      <c r="A107" s="458" t="s">
        <v>39</v>
      </c>
      <c r="B107" s="433" t="s">
        <v>1327</v>
      </c>
      <c r="C107" s="433" t="s">
        <v>924</v>
      </c>
      <c r="D107" s="433" t="s">
        <v>1303</v>
      </c>
      <c r="E107" s="433" t="s">
        <v>926</v>
      </c>
      <c r="F107" s="433" t="s">
        <v>774</v>
      </c>
      <c r="G107" s="432" t="s">
        <v>1363</v>
      </c>
      <c r="H107" s="432" t="s">
        <v>941</v>
      </c>
      <c r="I107" s="435" t="s">
        <v>774</v>
      </c>
      <c r="J107" s="435" t="s">
        <v>774</v>
      </c>
      <c r="K107" s="435" t="s">
        <v>774</v>
      </c>
      <c r="L107" s="433" t="s">
        <v>1304</v>
      </c>
      <c r="M107" s="433" t="s">
        <v>1305</v>
      </c>
      <c r="O107" s="435">
        <v>0</v>
      </c>
      <c r="P107" s="435">
        <v>2000</v>
      </c>
      <c r="Q107" s="435">
        <v>1600</v>
      </c>
      <c r="S107" s="435">
        <v>3600</v>
      </c>
      <c r="T107" s="432" t="s">
        <v>786</v>
      </c>
      <c r="U107" s="435" t="s">
        <v>774</v>
      </c>
      <c r="V107" s="435" t="s">
        <v>774</v>
      </c>
      <c r="W107" s="435" t="s">
        <v>774</v>
      </c>
      <c r="X107" s="435" t="s">
        <v>774</v>
      </c>
      <c r="Y107" s="435" t="s">
        <v>774</v>
      </c>
      <c r="AA107" s="433" t="s">
        <v>774</v>
      </c>
      <c r="AB107" s="433" t="s">
        <v>1306</v>
      </c>
    </row>
    <row r="108" spans="1:28">
      <c r="A108" s="457" t="s">
        <v>39</v>
      </c>
      <c r="B108" s="433" t="s">
        <v>1328</v>
      </c>
      <c r="C108" s="433" t="s">
        <v>924</v>
      </c>
      <c r="D108" s="433" t="s">
        <v>1307</v>
      </c>
      <c r="E108" s="433" t="s">
        <v>926</v>
      </c>
      <c r="F108" s="433" t="s">
        <v>774</v>
      </c>
      <c r="G108" s="432" t="s">
        <v>947</v>
      </c>
      <c r="H108" s="432" t="s">
        <v>941</v>
      </c>
      <c r="I108" s="435" t="s">
        <v>774</v>
      </c>
      <c r="J108" s="435" t="s">
        <v>774</v>
      </c>
      <c r="K108" s="435" t="s">
        <v>774</v>
      </c>
      <c r="L108" s="433" t="s">
        <v>1304</v>
      </c>
      <c r="M108" s="433" t="s">
        <v>1305</v>
      </c>
      <c r="O108" s="435">
        <v>300</v>
      </c>
      <c r="P108" s="435">
        <v>5300</v>
      </c>
      <c r="Q108" s="435">
        <v>8900</v>
      </c>
      <c r="S108" s="435">
        <v>14500</v>
      </c>
      <c r="T108" s="432" t="s">
        <v>786</v>
      </c>
      <c r="U108" s="435" t="s">
        <v>774</v>
      </c>
      <c r="V108" s="435" t="s">
        <v>774</v>
      </c>
      <c r="W108" s="435" t="s">
        <v>774</v>
      </c>
      <c r="X108" s="435" t="s">
        <v>774</v>
      </c>
      <c r="Y108" s="435" t="s">
        <v>774</v>
      </c>
      <c r="AA108" s="433" t="s">
        <v>774</v>
      </c>
      <c r="AB108" s="433" t="s">
        <v>1306</v>
      </c>
    </row>
    <row r="109" spans="1:28" ht="26.25">
      <c r="A109" s="458" t="s">
        <v>39</v>
      </c>
      <c r="B109" s="433" t="s">
        <v>1329</v>
      </c>
      <c r="C109" s="433" t="s">
        <v>904</v>
      </c>
      <c r="D109" s="433" t="s">
        <v>888</v>
      </c>
      <c r="E109" s="433" t="s">
        <v>1308</v>
      </c>
      <c r="F109" s="433" t="s">
        <v>774</v>
      </c>
      <c r="G109" s="432" t="s">
        <v>947</v>
      </c>
      <c r="H109" s="432" t="s">
        <v>1385</v>
      </c>
      <c r="I109" s="435">
        <v>14676</v>
      </c>
      <c r="J109" s="435" t="s">
        <v>1383</v>
      </c>
      <c r="K109" s="435">
        <v>1223</v>
      </c>
      <c r="L109" s="433" t="s">
        <v>1309</v>
      </c>
      <c r="M109" s="433" t="s">
        <v>1278</v>
      </c>
      <c r="O109" s="435">
        <v>4000</v>
      </c>
      <c r="P109" s="435">
        <v>4000</v>
      </c>
      <c r="Q109" s="435">
        <v>6000</v>
      </c>
      <c r="R109" s="435">
        <v>26000</v>
      </c>
      <c r="S109" s="435">
        <v>40000</v>
      </c>
      <c r="T109" s="432" t="s">
        <v>786</v>
      </c>
      <c r="X109" s="435">
        <v>775.47</v>
      </c>
      <c r="Y109" s="435">
        <v>775.46669999999995</v>
      </c>
      <c r="AA109" s="433" t="s">
        <v>774</v>
      </c>
      <c r="AB109" s="433" t="s">
        <v>1310</v>
      </c>
    </row>
  </sheetData>
  <phoneticPr fontId="51" type="noConversion"/>
  <pageMargins left="0.70866141732283472" right="0.70866141732283472" top="0.74803149606299213" bottom="0.74803149606299213" header="0.31496062992125984" footer="0.31496062992125984"/>
  <pageSetup paperSize="9" scale="57" fitToWidth="3" fitToHeight="0" pageOrder="overThenDown" orientation="landscape" horizontalDpi="1200" verticalDpi="1200" r:id="rId1"/>
  <headerFooter>
    <oddHeader>&amp;L&amp;"-,Bold"&amp;14Appendix J&amp;C&amp;"-,Bold"&amp;12Moyor's Consultation Budget 2023-2024
Climate Budget Measures (Unfunded and Uncommitted)</oddHeader>
    <oddFooter>&amp;R&amp;P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3DEB-5C1D-485D-8515-EA52EF411676}">
  <dimension ref="A1"/>
  <sheetViews>
    <sheetView workbookViewId="0"/>
  </sheetViews>
  <sheetFormatPr defaultRowHeight="14.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BFDC-C83E-48AC-BBBA-53025698180B}">
  <sheetPr>
    <tabColor rgb="FFFF0000"/>
  </sheetPr>
  <dimension ref="A1:N165"/>
  <sheetViews>
    <sheetView zoomScale="85" zoomScaleNormal="85" workbookViewId="0">
      <selection activeCell="B41" sqref="B41"/>
    </sheetView>
  </sheetViews>
  <sheetFormatPr defaultColWidth="9.1328125" defaultRowHeight="14.25"/>
  <cols>
    <col min="1" max="1" width="14.1328125" customWidth="1"/>
    <col min="2" max="2" width="24.73046875" customWidth="1"/>
    <col min="3" max="3" width="72.86328125" customWidth="1"/>
    <col min="4" max="4" width="8.1328125" style="109" customWidth="1"/>
    <col min="5" max="5" width="14.1328125" customWidth="1"/>
    <col min="6" max="6" width="24.73046875" customWidth="1"/>
    <col min="7" max="7" width="72.86328125" customWidth="1"/>
    <col min="8" max="8" width="8.3984375" customWidth="1"/>
    <col min="9" max="9" width="14.1328125" customWidth="1"/>
    <col min="10" max="10" width="24.73046875" customWidth="1"/>
    <col min="11" max="11" width="72.86328125" customWidth="1"/>
    <col min="12" max="12" width="7.86328125" customWidth="1"/>
    <col min="13" max="13" width="45.59765625" style="109" customWidth="1"/>
    <col min="14" max="14" width="28.1328125" style="192" customWidth="1"/>
  </cols>
  <sheetData>
    <row r="1" spans="1:14">
      <c r="A1" t="s">
        <v>460</v>
      </c>
      <c r="E1" t="s">
        <v>460</v>
      </c>
      <c r="I1" t="s">
        <v>460</v>
      </c>
    </row>
    <row r="3" spans="1:14">
      <c r="A3" s="244" t="s">
        <v>461</v>
      </c>
      <c r="E3" s="244" t="s">
        <v>461</v>
      </c>
      <c r="I3" s="244" t="s">
        <v>461</v>
      </c>
    </row>
    <row r="4" spans="1:14">
      <c r="A4" t="s">
        <v>462</v>
      </c>
      <c r="E4" t="s">
        <v>463</v>
      </c>
      <c r="I4" t="s">
        <v>464</v>
      </c>
    </row>
    <row r="5" spans="1:14" ht="14.65" thickBot="1">
      <c r="B5" s="199"/>
    </row>
    <row r="6" spans="1:14" ht="15" thickTop="1" thickBot="1">
      <c r="A6" s="231" t="s">
        <v>465</v>
      </c>
      <c r="B6" s="230" t="s">
        <v>466</v>
      </c>
      <c r="C6" s="229" t="s">
        <v>467</v>
      </c>
      <c r="E6" s="231" t="s">
        <v>465</v>
      </c>
      <c r="F6" s="230" t="s">
        <v>466</v>
      </c>
      <c r="G6" s="229" t="s">
        <v>467</v>
      </c>
      <c r="H6" s="228"/>
      <c r="I6" s="231" t="s">
        <v>465</v>
      </c>
      <c r="J6" s="230" t="s">
        <v>466</v>
      </c>
      <c r="K6" s="229" t="s">
        <v>467</v>
      </c>
    </row>
    <row r="7" spans="1:14" ht="27.4" thickTop="1">
      <c r="A7" s="227">
        <v>1</v>
      </c>
      <c r="B7" s="261">
        <f>842731014-B8-31614.0200000554</f>
        <v>841699399.9799999</v>
      </c>
      <c r="C7" s="225" t="s">
        <v>468</v>
      </c>
      <c r="E7" s="227">
        <v>1</v>
      </c>
      <c r="F7" s="226">
        <f>59888189.06-F9+905600000+4900000</f>
        <v>917393000.00119996</v>
      </c>
      <c r="G7" s="225" t="s">
        <v>468</v>
      </c>
      <c r="H7" s="206"/>
      <c r="I7" s="227">
        <v>1</v>
      </c>
      <c r="J7" s="243">
        <f>B7+F7</f>
        <v>1759092399.9811997</v>
      </c>
      <c r="K7" s="225" t="s">
        <v>468</v>
      </c>
      <c r="M7" s="109" t="s">
        <v>469</v>
      </c>
      <c r="N7" s="72">
        <v>-813071530.93235695</v>
      </c>
    </row>
    <row r="8" spans="1:14" ht="27">
      <c r="A8" s="222">
        <v>2</v>
      </c>
      <c r="B8" s="224">
        <v>1000000</v>
      </c>
      <c r="C8" s="221" t="s">
        <v>470</v>
      </c>
      <c r="E8" s="222">
        <v>2</v>
      </c>
      <c r="F8" s="224">
        <v>0</v>
      </c>
      <c r="G8" s="221" t="s">
        <v>470</v>
      </c>
      <c r="H8" s="206"/>
      <c r="I8" s="222">
        <v>2</v>
      </c>
      <c r="J8" s="240">
        <f>B8+F8</f>
        <v>1000000</v>
      </c>
      <c r="K8" s="221" t="s">
        <v>470</v>
      </c>
      <c r="M8" s="109" t="s">
        <v>471</v>
      </c>
      <c r="N8" s="72">
        <v>-63339963.423309997</v>
      </c>
    </row>
    <row r="9" spans="1:14" ht="27">
      <c r="A9" s="222">
        <v>3</v>
      </c>
      <c r="B9" s="224">
        <v>0</v>
      </c>
      <c r="C9" s="221" t="s">
        <v>472</v>
      </c>
      <c r="E9" s="222">
        <v>3</v>
      </c>
      <c r="F9" s="224">
        <f>52995189.0588</f>
        <v>52995189.058799997</v>
      </c>
      <c r="G9" s="221" t="s">
        <v>472</v>
      </c>
      <c r="H9" s="206"/>
      <c r="I9" s="222">
        <v>3</v>
      </c>
      <c r="J9" s="240">
        <f>B9+F9</f>
        <v>52995189.058799997</v>
      </c>
      <c r="K9" s="221" t="s">
        <v>472</v>
      </c>
      <c r="M9" s="260" t="s">
        <v>0</v>
      </c>
      <c r="N9" s="259">
        <f>-SUM(N7:N8)</f>
        <v>876411494.355667</v>
      </c>
    </row>
    <row r="10" spans="1:14" ht="27.4" thickBot="1">
      <c r="A10" s="222">
        <v>4</v>
      </c>
      <c r="B10" s="224">
        <v>0</v>
      </c>
      <c r="C10" s="221" t="s">
        <v>473</v>
      </c>
      <c r="E10" s="222">
        <v>4</v>
      </c>
      <c r="F10" s="224">
        <v>0</v>
      </c>
      <c r="G10" s="221" t="s">
        <v>473</v>
      </c>
      <c r="H10" s="206"/>
      <c r="I10" s="222">
        <v>4</v>
      </c>
      <c r="J10" s="240">
        <f>B10+F10</f>
        <v>0</v>
      </c>
      <c r="K10" s="221" t="s">
        <v>473</v>
      </c>
      <c r="M10" s="109" t="s">
        <v>474</v>
      </c>
      <c r="N10" s="192">
        <v>20000000</v>
      </c>
    </row>
    <row r="11" spans="1:14" ht="27.75" thickTop="1" thickBot="1">
      <c r="A11" s="219">
        <v>5</v>
      </c>
      <c r="B11" s="256">
        <f>SUM(B7:B10)</f>
        <v>842699399.9799999</v>
      </c>
      <c r="C11" s="217" t="s">
        <v>475</v>
      </c>
      <c r="E11" s="219">
        <v>5</v>
      </c>
      <c r="F11" s="223">
        <f>SUM(F7:F10)</f>
        <v>970388189.05999994</v>
      </c>
      <c r="G11" s="217" t="s">
        <v>475</v>
      </c>
      <c r="H11" s="206"/>
      <c r="I11" s="219">
        <v>5</v>
      </c>
      <c r="J11" s="239">
        <f>SUM(J7:J10)</f>
        <v>1813087589.0399997</v>
      </c>
      <c r="K11" s="217" t="s">
        <v>475</v>
      </c>
      <c r="M11" s="109" t="s">
        <v>476</v>
      </c>
      <c r="N11" s="192">
        <v>16200000</v>
      </c>
    </row>
    <row r="12" spans="1:14" ht="40.9" thickTop="1">
      <c r="A12" s="222">
        <v>6</v>
      </c>
      <c r="B12" s="220">
        <v>-262932000</v>
      </c>
      <c r="C12" s="221" t="s">
        <v>477</v>
      </c>
      <c r="E12" s="222">
        <v>6</v>
      </c>
      <c r="F12" s="220"/>
      <c r="G12" s="221" t="s">
        <v>477</v>
      </c>
      <c r="H12" s="206"/>
      <c r="I12" s="222">
        <v>6</v>
      </c>
      <c r="J12" s="240">
        <f>B12+F12</f>
        <v>-262932000</v>
      </c>
      <c r="K12" s="221" t="s">
        <v>477</v>
      </c>
      <c r="M12" s="109" t="s">
        <v>478</v>
      </c>
      <c r="N12" s="192">
        <v>11800000</v>
      </c>
    </row>
    <row r="13" spans="1:14" ht="27">
      <c r="A13" s="222">
        <v>7</v>
      </c>
      <c r="B13" s="220">
        <v>-317600000</v>
      </c>
      <c r="C13" s="221" t="s">
        <v>479</v>
      </c>
      <c r="E13" s="222">
        <v>7</v>
      </c>
      <c r="F13" s="220">
        <v>0</v>
      </c>
      <c r="G13" s="221" t="s">
        <v>479</v>
      </c>
      <c r="H13" s="206"/>
      <c r="I13" s="222">
        <v>7</v>
      </c>
      <c r="J13" s="240">
        <f>B13+F13</f>
        <v>-317600000</v>
      </c>
      <c r="K13" s="221" t="s">
        <v>479</v>
      </c>
      <c r="M13" s="109" t="s">
        <v>480</v>
      </c>
      <c r="N13" s="192">
        <v>1700000</v>
      </c>
    </row>
    <row r="14" spans="1:14" ht="27">
      <c r="A14" s="222">
        <v>8</v>
      </c>
      <c r="B14" s="220">
        <v>0</v>
      </c>
      <c r="C14" s="221" t="s">
        <v>481</v>
      </c>
      <c r="E14" s="222">
        <v>8</v>
      </c>
      <c r="F14" s="220">
        <v>0</v>
      </c>
      <c r="G14" s="221" t="s">
        <v>481</v>
      </c>
      <c r="H14" s="206"/>
      <c r="I14" s="222">
        <v>8</v>
      </c>
      <c r="J14" s="240">
        <f>B14+F14</f>
        <v>0</v>
      </c>
      <c r="K14" s="221" t="s">
        <v>481</v>
      </c>
    </row>
    <row r="15" spans="1:14" ht="40.5">
      <c r="A15" s="222">
        <v>9</v>
      </c>
      <c r="B15" s="220">
        <v>-130646219</v>
      </c>
      <c r="C15" s="221" t="s">
        <v>482</v>
      </c>
      <c r="E15" s="222">
        <v>9</v>
      </c>
      <c r="F15" s="220">
        <f>-59888189.06-905600000</f>
        <v>-965488189.05999994</v>
      </c>
      <c r="G15" s="221" t="s">
        <v>482</v>
      </c>
      <c r="H15" s="206"/>
      <c r="I15" s="222">
        <v>9</v>
      </c>
      <c r="J15" s="240">
        <f>B15+F15</f>
        <v>-1096134408.0599999</v>
      </c>
      <c r="K15" s="221" t="s">
        <v>482</v>
      </c>
    </row>
    <row r="16" spans="1:14" ht="40.9" thickBot="1">
      <c r="A16" s="222">
        <v>10</v>
      </c>
      <c r="B16" s="220">
        <f>-7362539.56</f>
        <v>-7362539.5599999996</v>
      </c>
      <c r="C16" s="221" t="s">
        <v>483</v>
      </c>
      <c r="E16" s="222">
        <v>10</v>
      </c>
      <c r="F16" s="220">
        <v>0</v>
      </c>
      <c r="G16" s="221" t="s">
        <v>483</v>
      </c>
      <c r="H16" s="206"/>
      <c r="I16" s="222">
        <v>10</v>
      </c>
      <c r="J16" s="240">
        <f>B16+F16</f>
        <v>-7362539.5599999996</v>
      </c>
      <c r="K16" s="221" t="s">
        <v>483</v>
      </c>
    </row>
    <row r="17" spans="1:14" ht="27.75" thickTop="1" thickBot="1">
      <c r="A17" s="219">
        <f>+A16+1</f>
        <v>11</v>
      </c>
      <c r="B17" s="218">
        <f>+B16+B15+B14+B13+B12</f>
        <v>-718540758.55999994</v>
      </c>
      <c r="C17" s="225" t="s">
        <v>484</v>
      </c>
      <c r="E17" s="219">
        <f>+E16+1</f>
        <v>11</v>
      </c>
      <c r="F17" s="218">
        <f>+F16+F15+F14+F13+F12</f>
        <v>-965488189.05999994</v>
      </c>
      <c r="G17" s="225" t="s">
        <v>484</v>
      </c>
      <c r="H17" s="206"/>
      <c r="I17" s="219">
        <f>+I16+1</f>
        <v>11</v>
      </c>
      <c r="J17" s="239">
        <f>+J16+J15+J14+J13+J12</f>
        <v>-1684028947.6199999</v>
      </c>
      <c r="K17" s="225" t="s">
        <v>484</v>
      </c>
    </row>
    <row r="18" spans="1:14" ht="27.75" thickTop="1" thickBot="1">
      <c r="A18" s="222">
        <f>+A17+1</f>
        <v>12</v>
      </c>
      <c r="B18" s="258">
        <v>-57567400</v>
      </c>
      <c r="C18" s="217" t="s">
        <v>485</v>
      </c>
      <c r="E18" s="222">
        <f>+E17+1</f>
        <v>12</v>
      </c>
      <c r="F18" s="258">
        <v>-4900000</v>
      </c>
      <c r="G18" s="217" t="s">
        <v>485</v>
      </c>
      <c r="H18" s="206"/>
      <c r="I18" s="222">
        <f>+I17+1</f>
        <v>12</v>
      </c>
      <c r="J18" s="257">
        <f>IF((B18+F18)&lt;0,B18+F18,0)</f>
        <v>-62467400</v>
      </c>
      <c r="K18" s="217" t="s">
        <v>485</v>
      </c>
    </row>
    <row r="19" spans="1:14" ht="27.75" thickTop="1" thickBot="1">
      <c r="A19" s="219">
        <f>+A18+1</f>
        <v>13</v>
      </c>
      <c r="B19" s="256">
        <f>+B17+B18</f>
        <v>-776108158.55999994</v>
      </c>
      <c r="C19" s="217" t="s">
        <v>486</v>
      </c>
      <c r="E19" s="219">
        <f>+E18+1</f>
        <v>13</v>
      </c>
      <c r="F19" s="218">
        <f>+F17+F18</f>
        <v>-970388189.05999994</v>
      </c>
      <c r="G19" s="217" t="s">
        <v>486</v>
      </c>
      <c r="H19" s="206"/>
      <c r="I19" s="219">
        <f>+I18+1</f>
        <v>13</v>
      </c>
      <c r="J19" s="239">
        <f>+J17+J18</f>
        <v>-1746496347.6199999</v>
      </c>
      <c r="K19" s="217" t="s">
        <v>486</v>
      </c>
    </row>
    <row r="20" spans="1:14" ht="41.25" thickTop="1" thickBot="1">
      <c r="A20" s="215">
        <f>+A19+1</f>
        <v>14</v>
      </c>
      <c r="B20" s="238">
        <f>B19+B11</f>
        <v>66591241.419999957</v>
      </c>
      <c r="C20" s="213" t="s">
        <v>487</v>
      </c>
      <c r="E20" s="215">
        <f>+E19+1</f>
        <v>14</v>
      </c>
      <c r="F20" s="238">
        <f>F19+F11</f>
        <v>0</v>
      </c>
      <c r="G20" s="213" t="s">
        <v>487</v>
      </c>
      <c r="H20" s="206"/>
      <c r="I20" s="215">
        <f>+I19+1</f>
        <v>14</v>
      </c>
      <c r="J20" s="238">
        <f>J19+J11</f>
        <v>66591241.419999838</v>
      </c>
      <c r="K20" s="213" t="s">
        <v>487</v>
      </c>
    </row>
    <row r="21" spans="1:14" ht="15.4" thickTop="1">
      <c r="A21" s="208"/>
      <c r="B21" s="207">
        <v>66591241.420000002</v>
      </c>
      <c r="C21" s="255">
        <f>B20-B21</f>
        <v>0</v>
      </c>
      <c r="D21" s="254"/>
      <c r="E21" s="208"/>
      <c r="F21" s="207"/>
      <c r="G21" s="251"/>
      <c r="H21" s="251"/>
      <c r="I21" s="208"/>
      <c r="J21" s="207"/>
      <c r="K21" s="251"/>
      <c r="M21" s="253">
        <f>N21-B20</f>
        <v>1097562.5800000429</v>
      </c>
      <c r="N21" s="192">
        <f>67675846+12958</f>
        <v>67688804</v>
      </c>
    </row>
    <row r="22" spans="1:14" ht="15">
      <c r="A22" s="208"/>
      <c r="B22" s="207"/>
      <c r="C22" s="252">
        <f>B20-B21</f>
        <v>0</v>
      </c>
      <c r="E22" s="208"/>
      <c r="F22" s="207"/>
      <c r="G22" s="251"/>
      <c r="H22" s="251"/>
      <c r="I22" s="208"/>
      <c r="J22" s="207"/>
      <c r="K22" s="251"/>
    </row>
    <row r="23" spans="1:14">
      <c r="A23" s="244" t="s">
        <v>488</v>
      </c>
      <c r="E23" s="244">
        <f>678675846-6000000</f>
        <v>672675846</v>
      </c>
      <c r="I23" s="244"/>
    </row>
    <row r="25" spans="1:14" ht="14.65" thickBot="1">
      <c r="J25" s="72">
        <v>1099800000</v>
      </c>
      <c r="K25" t="s">
        <v>489</v>
      </c>
    </row>
    <row r="26" spans="1:14" ht="15" thickTop="1" thickBot="1">
      <c r="A26" s="231" t="s">
        <v>465</v>
      </c>
      <c r="B26" s="230" t="s">
        <v>466</v>
      </c>
      <c r="C26" s="229" t="s">
        <v>467</v>
      </c>
      <c r="E26" s="228"/>
      <c r="F26" s="228"/>
      <c r="G26" s="228"/>
      <c r="H26" s="228"/>
      <c r="I26" s="228"/>
      <c r="J26" s="250">
        <f>J7+J8</f>
        <v>1760092399.9811997</v>
      </c>
      <c r="K26" s="249" t="s">
        <v>490</v>
      </c>
    </row>
    <row r="27" spans="1:14" ht="27.4" thickTop="1">
      <c r="A27" s="227">
        <f>+A20+1</f>
        <v>15</v>
      </c>
      <c r="B27" s="226">
        <f>8565000-B29</f>
        <v>8415000</v>
      </c>
      <c r="C27" s="225" t="s">
        <v>491</v>
      </c>
      <c r="E27" s="208"/>
      <c r="F27" s="224"/>
      <c r="G27" s="206"/>
      <c r="H27" s="206"/>
      <c r="I27" s="208"/>
      <c r="J27" s="247">
        <f>SUM(J26:J26)-J25</f>
        <v>660292399.98119974</v>
      </c>
      <c r="K27" s="246" t="s">
        <v>432</v>
      </c>
    </row>
    <row r="28" spans="1:14" ht="27">
      <c r="A28" s="222">
        <f t="shared" ref="A28:A40" si="0">+A27+1</f>
        <v>16</v>
      </c>
      <c r="B28" s="224">
        <v>0</v>
      </c>
      <c r="C28" s="221" t="s">
        <v>492</v>
      </c>
      <c r="E28" s="208"/>
      <c r="F28" s="224"/>
      <c r="G28" s="206"/>
      <c r="H28" s="206"/>
      <c r="I28" s="208"/>
      <c r="J28" s="248">
        <v>-16200000</v>
      </c>
      <c r="K28" s="249" t="s">
        <v>476</v>
      </c>
    </row>
    <row r="29" spans="1:14" ht="27">
      <c r="A29" s="222">
        <f t="shared" si="0"/>
        <v>17</v>
      </c>
      <c r="B29" s="224">
        <v>150000</v>
      </c>
      <c r="C29" s="221" t="s">
        <v>493</v>
      </c>
      <c r="E29" s="208"/>
      <c r="F29" s="224"/>
      <c r="G29" s="206"/>
      <c r="H29" s="206"/>
      <c r="I29" s="208"/>
      <c r="J29" s="248">
        <v>-12500000</v>
      </c>
      <c r="K29" s="249" t="s">
        <v>478</v>
      </c>
    </row>
    <row r="30" spans="1:14" ht="27.4" thickBot="1">
      <c r="A30" s="222">
        <f t="shared" si="0"/>
        <v>18</v>
      </c>
      <c r="B30" s="224">
        <v>0</v>
      </c>
      <c r="C30" s="221" t="s">
        <v>494</v>
      </c>
      <c r="E30" s="208"/>
      <c r="F30" s="224"/>
      <c r="G30" s="206"/>
      <c r="H30" s="206"/>
      <c r="I30" s="208"/>
      <c r="J30" s="248">
        <v>-1700000</v>
      </c>
      <c r="K30" t="s">
        <v>480</v>
      </c>
    </row>
    <row r="31" spans="1:14" ht="27.75" thickTop="1" thickBot="1">
      <c r="A31" s="219">
        <f t="shared" si="0"/>
        <v>19</v>
      </c>
      <c r="B31" s="223">
        <f>SUM(B27:B30)</f>
        <v>8565000</v>
      </c>
      <c r="C31" s="217" t="s">
        <v>495</v>
      </c>
      <c r="E31" s="208"/>
      <c r="F31" s="207"/>
      <c r="G31" s="206"/>
      <c r="H31" s="206"/>
      <c r="I31" s="208"/>
      <c r="J31" s="248">
        <v>119220</v>
      </c>
      <c r="K31" t="s">
        <v>496</v>
      </c>
    </row>
    <row r="32" spans="1:14" ht="40.9" thickTop="1">
      <c r="A32" s="222">
        <f t="shared" si="0"/>
        <v>20</v>
      </c>
      <c r="B32" s="220">
        <v>0</v>
      </c>
      <c r="C32" s="221" t="s">
        <v>497</v>
      </c>
      <c r="E32" s="208"/>
      <c r="F32" s="220"/>
      <c r="G32" s="206"/>
      <c r="H32" s="206"/>
      <c r="I32" s="208"/>
      <c r="J32" s="247">
        <f>SUM(J27:J31)</f>
        <v>630011619.98119974</v>
      </c>
      <c r="K32" s="246" t="s">
        <v>498</v>
      </c>
    </row>
    <row r="33" spans="1:11" ht="27">
      <c r="A33" s="222">
        <f t="shared" si="0"/>
        <v>21</v>
      </c>
      <c r="B33" s="220">
        <v>0</v>
      </c>
      <c r="C33" s="221" t="s">
        <v>499</v>
      </c>
      <c r="E33" s="208"/>
      <c r="F33" s="220"/>
      <c r="G33" s="206"/>
      <c r="H33" s="206"/>
      <c r="I33" s="208"/>
    </row>
    <row r="34" spans="1:11" ht="27">
      <c r="A34" s="222">
        <f t="shared" si="0"/>
        <v>22</v>
      </c>
      <c r="B34" s="220">
        <v>0</v>
      </c>
      <c r="C34" s="221" t="s">
        <v>500</v>
      </c>
      <c r="E34" s="208"/>
      <c r="F34" s="220"/>
      <c r="G34" s="206"/>
      <c r="H34" s="206"/>
      <c r="I34" s="208"/>
    </row>
    <row r="35" spans="1:11" ht="40.5">
      <c r="A35" s="222">
        <f t="shared" si="0"/>
        <v>23</v>
      </c>
      <c r="B35" s="220">
        <f>-5941616</f>
        <v>-5941616</v>
      </c>
      <c r="C35" s="221" t="s">
        <v>501</v>
      </c>
      <c r="E35" s="208"/>
      <c r="F35" s="220"/>
      <c r="G35" s="206"/>
      <c r="H35" s="206"/>
      <c r="I35" s="208"/>
      <c r="J35" s="220"/>
      <c r="K35" s="206"/>
    </row>
    <row r="36" spans="1:11" ht="27.4" thickBot="1">
      <c r="A36" s="222">
        <f t="shared" si="0"/>
        <v>24</v>
      </c>
      <c r="B36" s="220">
        <v>0</v>
      </c>
      <c r="C36" s="221" t="s">
        <v>502</v>
      </c>
      <c r="E36" s="208"/>
      <c r="F36" s="220"/>
      <c r="G36" s="206"/>
      <c r="H36" s="206"/>
      <c r="I36" s="208"/>
      <c r="J36" s="220"/>
      <c r="K36" s="206"/>
    </row>
    <row r="37" spans="1:11" ht="27.75" thickTop="1" thickBot="1">
      <c r="A37" s="219">
        <f t="shared" si="0"/>
        <v>25</v>
      </c>
      <c r="B37" s="218">
        <f>+B36+B35+B34+B33+B32</f>
        <v>-5941616</v>
      </c>
      <c r="C37" s="217" t="s">
        <v>503</v>
      </c>
      <c r="E37" s="208"/>
      <c r="F37" s="216"/>
      <c r="G37" s="206"/>
      <c r="H37" s="206"/>
      <c r="I37" s="208"/>
      <c r="J37" s="216"/>
      <c r="K37" s="206"/>
    </row>
    <row r="38" spans="1:11" ht="27.75" thickTop="1" thickBot="1">
      <c r="A38" s="222">
        <f t="shared" si="0"/>
        <v>26</v>
      </c>
      <c r="B38" s="220"/>
      <c r="C38" s="221" t="s">
        <v>504</v>
      </c>
      <c r="E38" s="208"/>
      <c r="F38" s="220"/>
      <c r="G38" s="206"/>
      <c r="H38" s="206"/>
      <c r="I38" s="208"/>
      <c r="J38" s="220"/>
      <c r="K38" s="206"/>
    </row>
    <row r="39" spans="1:11" ht="27.75" thickTop="1" thickBot="1">
      <c r="A39" s="219">
        <f t="shared" si="0"/>
        <v>27</v>
      </c>
      <c r="B39" s="218">
        <f>+B37+B38</f>
        <v>-5941616</v>
      </c>
      <c r="C39" s="217" t="s">
        <v>505</v>
      </c>
      <c r="E39" s="208"/>
      <c r="F39" s="216"/>
      <c r="G39" s="206"/>
      <c r="H39" s="206"/>
      <c r="I39" s="208"/>
      <c r="J39" s="216"/>
      <c r="K39" s="206"/>
    </row>
    <row r="40" spans="1:11" ht="41.25" thickTop="1" thickBot="1">
      <c r="A40" s="215">
        <f t="shared" si="0"/>
        <v>28</v>
      </c>
      <c r="B40" s="214">
        <f>+B39+B31</f>
        <v>2623384</v>
      </c>
      <c r="C40" s="213" t="s">
        <v>506</v>
      </c>
      <c r="E40" s="208"/>
      <c r="F40" s="207"/>
      <c r="G40" s="206"/>
      <c r="H40" s="206"/>
      <c r="I40" s="208"/>
      <c r="J40" s="207"/>
      <c r="K40" s="206"/>
    </row>
    <row r="41" spans="1:11" ht="14.65" thickTop="1">
      <c r="B41" s="192">
        <v>2634129.1482000002</v>
      </c>
      <c r="C41" s="245">
        <f>B40-B41</f>
        <v>-10745.148200000171</v>
      </c>
    </row>
    <row r="43" spans="1:11">
      <c r="A43" s="244"/>
      <c r="E43" s="244"/>
      <c r="I43" s="244"/>
    </row>
    <row r="44" spans="1:11">
      <c r="A44" s="244" t="s">
        <v>507</v>
      </c>
      <c r="E44" s="244"/>
      <c r="I44" s="244"/>
    </row>
    <row r="46" spans="1:11" ht="14.65" thickBot="1"/>
    <row r="47" spans="1:11" ht="15" thickTop="1" thickBot="1">
      <c r="A47" s="231" t="s">
        <v>465</v>
      </c>
      <c r="B47" s="230" t="s">
        <v>466</v>
      </c>
      <c r="C47" s="229" t="s">
        <v>467</v>
      </c>
      <c r="E47" s="228"/>
      <c r="F47" s="228"/>
      <c r="G47" s="228"/>
      <c r="H47" s="228"/>
      <c r="I47" s="228"/>
      <c r="J47" s="228"/>
      <c r="K47" s="228"/>
    </row>
    <row r="48" spans="1:11" ht="27.4" thickTop="1">
      <c r="A48" s="227">
        <f>+A40+1</f>
        <v>29</v>
      </c>
      <c r="B48" s="243">
        <f>-B53-B54-B55-B56-B57-B59+767054360.26</f>
        <v>3885262435.0009003</v>
      </c>
      <c r="C48" s="225" t="s">
        <v>508</v>
      </c>
      <c r="E48" s="208"/>
      <c r="F48" s="224"/>
      <c r="G48" s="242">
        <f>726177892-B61</f>
        <v>-40876468.260000229</v>
      </c>
      <c r="H48" s="206"/>
      <c r="I48" s="208"/>
      <c r="J48" s="224"/>
      <c r="K48" s="206"/>
    </row>
    <row r="49" spans="1:11" ht="27">
      <c r="A49" s="222">
        <f t="shared" ref="A49:A61" si="1">+A48+1</f>
        <v>30</v>
      </c>
      <c r="B49" s="240">
        <v>0</v>
      </c>
      <c r="C49" s="221" t="s">
        <v>509</v>
      </c>
      <c r="E49" s="208"/>
      <c r="F49" s="224"/>
      <c r="G49" s="206"/>
      <c r="H49" s="206"/>
      <c r="I49" s="208"/>
      <c r="J49" s="224"/>
      <c r="K49" s="206"/>
    </row>
    <row r="50" spans="1:11" ht="27">
      <c r="A50" s="222">
        <f t="shared" si="1"/>
        <v>31</v>
      </c>
      <c r="B50" s="240">
        <v>0</v>
      </c>
      <c r="C50" s="221" t="s">
        <v>510</v>
      </c>
      <c r="E50" s="208"/>
      <c r="F50" s="224"/>
      <c r="G50" s="206"/>
      <c r="H50" s="206"/>
      <c r="I50" s="208"/>
      <c r="J50" s="224"/>
      <c r="K50" s="206"/>
    </row>
    <row r="51" spans="1:11" ht="27.4" thickBot="1">
      <c r="A51" s="222">
        <f t="shared" si="1"/>
        <v>32</v>
      </c>
      <c r="B51" s="240">
        <v>0</v>
      </c>
      <c r="C51" s="221" t="s">
        <v>511</v>
      </c>
      <c r="E51" s="208"/>
      <c r="F51" s="224"/>
      <c r="G51" s="206"/>
      <c r="H51" s="206"/>
      <c r="I51" s="208"/>
      <c r="J51" s="224"/>
      <c r="K51" s="206"/>
    </row>
    <row r="52" spans="1:11" ht="27.75" thickTop="1" thickBot="1">
      <c r="A52" s="219">
        <f t="shared" si="1"/>
        <v>33</v>
      </c>
      <c r="B52" s="239">
        <f>SUM(B48:B51)</f>
        <v>3885262435.0009003</v>
      </c>
      <c r="C52" s="217" t="s">
        <v>512</v>
      </c>
      <c r="E52" s="208"/>
      <c r="F52" s="207"/>
      <c r="G52" s="206"/>
      <c r="H52" s="206"/>
      <c r="I52" s="208"/>
      <c r="J52" s="207"/>
      <c r="K52" s="206"/>
    </row>
    <row r="53" spans="1:11" ht="40.9" thickTop="1">
      <c r="A53" s="222">
        <f t="shared" si="1"/>
        <v>34</v>
      </c>
      <c r="B53" s="240">
        <v>-270000000</v>
      </c>
      <c r="C53" s="221" t="s">
        <v>513</v>
      </c>
      <c r="E53" s="208"/>
      <c r="F53" s="220"/>
      <c r="G53" s="206"/>
      <c r="H53" s="206"/>
      <c r="I53" s="208"/>
      <c r="J53" s="220"/>
      <c r="K53" s="206"/>
    </row>
    <row r="54" spans="1:11" ht="27">
      <c r="A54" s="222">
        <f t="shared" si="1"/>
        <v>35</v>
      </c>
      <c r="B54" s="240">
        <v>-619100000</v>
      </c>
      <c r="C54" s="221" t="s">
        <v>514</v>
      </c>
      <c r="E54" s="208"/>
      <c r="F54" s="220"/>
      <c r="G54" s="206"/>
      <c r="H54" s="206"/>
      <c r="I54" s="208"/>
      <c r="J54" s="220"/>
      <c r="K54" s="206"/>
    </row>
    <row r="55" spans="1:11" ht="40.5">
      <c r="A55" s="222">
        <f t="shared" si="1"/>
        <v>36</v>
      </c>
      <c r="B55" s="240">
        <v>-2048523435</v>
      </c>
      <c r="C55" s="221" t="s">
        <v>515</v>
      </c>
      <c r="E55" s="208"/>
      <c r="F55" s="220"/>
      <c r="G55" s="206"/>
      <c r="H55" s="206"/>
      <c r="I55" s="208"/>
      <c r="J55" s="220"/>
      <c r="K55" s="206"/>
    </row>
    <row r="56" spans="1:11" ht="40.5">
      <c r="A56" s="222">
        <f t="shared" si="1"/>
        <v>37</v>
      </c>
      <c r="B56" s="240">
        <v>-118678639.74089999</v>
      </c>
      <c r="C56" s="221" t="s">
        <v>516</v>
      </c>
      <c r="E56" s="241"/>
      <c r="F56" s="220"/>
      <c r="G56" s="206"/>
      <c r="H56" s="206"/>
      <c r="I56" s="208"/>
      <c r="J56" s="220"/>
      <c r="K56" s="206"/>
    </row>
    <row r="57" spans="1:11" ht="27.4" thickBot="1">
      <c r="A57" s="222">
        <f t="shared" si="1"/>
        <v>38</v>
      </c>
      <c r="B57" s="240">
        <v>-10000000</v>
      </c>
      <c r="C57" s="221" t="s">
        <v>517</v>
      </c>
      <c r="E57" s="241"/>
      <c r="F57" s="220"/>
      <c r="G57" s="206"/>
      <c r="H57" s="206"/>
      <c r="I57" s="208"/>
      <c r="J57" s="220"/>
      <c r="K57" s="206"/>
    </row>
    <row r="58" spans="1:11" ht="27.75" thickTop="1" thickBot="1">
      <c r="A58" s="219">
        <f t="shared" si="1"/>
        <v>39</v>
      </c>
      <c r="B58" s="239">
        <f>+B53+B54+B55+B56+B57</f>
        <v>-3066302074.7409</v>
      </c>
      <c r="C58" s="217" t="s">
        <v>518</v>
      </c>
      <c r="E58" s="241"/>
      <c r="F58" s="216"/>
      <c r="G58" s="206"/>
      <c r="H58" s="206"/>
      <c r="I58" s="208"/>
      <c r="J58" s="216"/>
      <c r="K58" s="206"/>
    </row>
    <row r="59" spans="1:11" ht="27.75" thickTop="1" thickBot="1">
      <c r="A59" s="222">
        <f t="shared" si="1"/>
        <v>40</v>
      </c>
      <c r="B59" s="240">
        <v>-51906000</v>
      </c>
      <c r="C59" s="221" t="s">
        <v>519</v>
      </c>
      <c r="E59" s="208"/>
      <c r="F59" s="220"/>
      <c r="G59" s="206"/>
      <c r="H59" s="206"/>
      <c r="I59" s="208"/>
      <c r="J59" s="220"/>
      <c r="K59" s="206"/>
    </row>
    <row r="60" spans="1:11" ht="27.75" thickTop="1" thickBot="1">
      <c r="A60" s="219">
        <f t="shared" si="1"/>
        <v>41</v>
      </c>
      <c r="B60" s="239">
        <f>+B58+B59</f>
        <v>-3118208074.7409</v>
      </c>
      <c r="C60" s="217" t="s">
        <v>520</v>
      </c>
      <c r="E60" s="208"/>
      <c r="F60" s="216"/>
      <c r="G60" s="206"/>
      <c r="H60" s="206"/>
      <c r="I60" s="208"/>
      <c r="J60" s="216"/>
      <c r="K60" s="206"/>
    </row>
    <row r="61" spans="1:11" ht="41.25" thickTop="1" thickBot="1">
      <c r="A61" s="215">
        <f t="shared" si="1"/>
        <v>42</v>
      </c>
      <c r="B61" s="238">
        <f>B52+B60</f>
        <v>767054360.26000023</v>
      </c>
      <c r="C61" s="213" t="s">
        <v>521</v>
      </c>
      <c r="E61" s="208"/>
      <c r="F61" s="207"/>
      <c r="G61" s="206"/>
      <c r="H61" s="206"/>
      <c r="I61" s="208"/>
      <c r="J61" s="207"/>
      <c r="K61" s="206"/>
    </row>
    <row r="62" spans="1:11" ht="14.65" thickTop="1">
      <c r="B62" s="192"/>
      <c r="C62" s="237"/>
    </row>
    <row r="63" spans="1:11">
      <c r="B63" s="199"/>
      <c r="F63" s="199"/>
      <c r="J63" s="199"/>
    </row>
    <row r="64" spans="1:11">
      <c r="A64" s="212" t="s">
        <v>522</v>
      </c>
      <c r="E64" s="212"/>
      <c r="I64" s="212"/>
    </row>
    <row r="66" spans="1:11" ht="14.65" thickBot="1"/>
    <row r="67" spans="1:11" ht="15" thickTop="1" thickBot="1">
      <c r="A67" s="231" t="s">
        <v>465</v>
      </c>
      <c r="B67" s="230" t="s">
        <v>466</v>
      </c>
      <c r="C67" s="229" t="s">
        <v>467</v>
      </c>
      <c r="E67" s="228"/>
      <c r="F67" s="228"/>
      <c r="G67" s="228"/>
      <c r="H67" s="228"/>
      <c r="I67" s="228"/>
      <c r="J67" s="228"/>
      <c r="K67" s="228"/>
    </row>
    <row r="68" spans="1:11" ht="27.4" thickTop="1">
      <c r="A68" s="227">
        <f>+A61+1</f>
        <v>43</v>
      </c>
      <c r="B68" s="226">
        <f>489516000</f>
        <v>489516000</v>
      </c>
      <c r="C68" s="225" t="s">
        <v>523</v>
      </c>
      <c r="E68" s="208"/>
      <c r="F68" s="224"/>
      <c r="G68" s="206" t="s">
        <v>391</v>
      </c>
      <c r="H68" s="206"/>
      <c r="I68" s="208"/>
      <c r="J68" s="224"/>
      <c r="K68" s="206"/>
    </row>
    <row r="69" spans="1:11" ht="15">
      <c r="A69" s="222">
        <f t="shared" ref="A69:A81" si="2">+A68+1</f>
        <v>44</v>
      </c>
      <c r="B69" s="224">
        <v>0</v>
      </c>
      <c r="C69" s="221" t="s">
        <v>524</v>
      </c>
      <c r="E69" s="208"/>
      <c r="F69" s="224"/>
      <c r="G69" s="206"/>
      <c r="H69" s="206"/>
      <c r="I69" s="208"/>
      <c r="J69" s="224"/>
      <c r="K69" s="206"/>
    </row>
    <row r="70" spans="1:11" ht="27">
      <c r="A70" s="222">
        <f t="shared" si="2"/>
        <v>45</v>
      </c>
      <c r="B70" s="224">
        <v>0</v>
      </c>
      <c r="C70" s="221" t="s">
        <v>525</v>
      </c>
      <c r="E70" s="208"/>
      <c r="F70" s="224"/>
      <c r="G70" s="206"/>
      <c r="H70" s="206"/>
      <c r="I70" s="208"/>
      <c r="J70" s="224"/>
      <c r="K70" s="206"/>
    </row>
    <row r="71" spans="1:11" ht="27.4" thickBot="1">
      <c r="A71" s="222">
        <f t="shared" si="2"/>
        <v>46</v>
      </c>
      <c r="B71" s="224">
        <v>0</v>
      </c>
      <c r="C71" s="221" t="s">
        <v>526</v>
      </c>
      <c r="E71" s="208"/>
      <c r="F71" s="224"/>
      <c r="G71" s="206"/>
      <c r="H71" s="206"/>
      <c r="I71" s="208"/>
      <c r="J71" s="224"/>
      <c r="K71" s="206"/>
    </row>
    <row r="72" spans="1:11" ht="27.75" thickTop="1" thickBot="1">
      <c r="A72" s="219">
        <f t="shared" si="2"/>
        <v>47</v>
      </c>
      <c r="B72" s="223">
        <f>SUM(B68:B71)</f>
        <v>489516000</v>
      </c>
      <c r="C72" s="217" t="s">
        <v>527</v>
      </c>
      <c r="E72" s="208"/>
      <c r="F72" s="207"/>
      <c r="G72" s="206"/>
      <c r="H72" s="206"/>
      <c r="I72" s="208"/>
      <c r="J72" s="207"/>
      <c r="K72" s="206"/>
    </row>
    <row r="73" spans="1:11" ht="27.4" thickTop="1">
      <c r="A73" s="222">
        <f t="shared" si="2"/>
        <v>48</v>
      </c>
      <c r="B73" s="220">
        <v>-39793000</v>
      </c>
      <c r="C73" s="221" t="s">
        <v>528</v>
      </c>
      <c r="E73" s="208"/>
      <c r="F73" s="220"/>
      <c r="G73" s="206"/>
      <c r="H73" s="206"/>
      <c r="I73" s="208"/>
      <c r="J73" s="220"/>
      <c r="K73" s="206"/>
    </row>
    <row r="74" spans="1:11" ht="27">
      <c r="A74" s="222">
        <f t="shared" si="2"/>
        <v>49</v>
      </c>
      <c r="B74" s="220">
        <v>-33228000</v>
      </c>
      <c r="C74" s="221" t="s">
        <v>529</v>
      </c>
      <c r="E74" s="208"/>
      <c r="F74" s="220"/>
      <c r="G74" s="206"/>
      <c r="H74" s="206"/>
      <c r="I74" s="208"/>
      <c r="J74" s="220"/>
      <c r="K74" s="206"/>
    </row>
    <row r="75" spans="1:11" ht="27">
      <c r="A75" s="222">
        <f t="shared" si="2"/>
        <v>50</v>
      </c>
      <c r="B75" s="220">
        <v>0</v>
      </c>
      <c r="C75" s="221" t="s">
        <v>530</v>
      </c>
      <c r="E75" s="208"/>
      <c r="F75" s="220"/>
      <c r="G75" s="206"/>
      <c r="H75" s="206"/>
      <c r="I75" s="208"/>
      <c r="J75" s="220"/>
      <c r="K75" s="206"/>
    </row>
    <row r="76" spans="1:11" ht="27">
      <c r="A76" s="222">
        <f t="shared" si="2"/>
        <v>51</v>
      </c>
      <c r="B76" s="220">
        <f>-232871331.85</f>
        <v>-232871331.84999999</v>
      </c>
      <c r="C76" s="221" t="s">
        <v>531</v>
      </c>
      <c r="E76" s="208"/>
      <c r="F76" s="220"/>
      <c r="G76" s="206"/>
      <c r="H76" s="206"/>
      <c r="I76" s="208"/>
      <c r="J76" s="220"/>
      <c r="K76" s="206"/>
    </row>
    <row r="77" spans="1:11" ht="27.4" thickBot="1">
      <c r="A77" s="222">
        <f t="shared" si="2"/>
        <v>52</v>
      </c>
      <c r="B77" s="220">
        <v>0</v>
      </c>
      <c r="C77" s="221" t="s">
        <v>532</v>
      </c>
      <c r="E77" s="208"/>
      <c r="F77" s="220"/>
      <c r="G77" s="206"/>
      <c r="H77" s="206"/>
      <c r="I77" s="208"/>
      <c r="J77" s="220"/>
      <c r="K77" s="206"/>
    </row>
    <row r="78" spans="1:11" ht="27.75" thickTop="1" thickBot="1">
      <c r="A78" s="219">
        <f t="shared" si="2"/>
        <v>53</v>
      </c>
      <c r="B78" s="218">
        <f>+B73+B74+B75+B76+B77</f>
        <v>-305892331.85000002</v>
      </c>
      <c r="C78" s="217" t="s">
        <v>533</v>
      </c>
      <c r="E78" s="208"/>
      <c r="F78" s="216"/>
      <c r="G78" s="220"/>
      <c r="H78" s="206"/>
      <c r="I78" s="208"/>
      <c r="J78" s="216"/>
      <c r="K78" s="206"/>
    </row>
    <row r="79" spans="1:11" ht="27.75" thickTop="1" thickBot="1">
      <c r="A79" s="222">
        <f t="shared" si="2"/>
        <v>54</v>
      </c>
      <c r="B79" s="236">
        <v>-14995000</v>
      </c>
      <c r="C79" s="221" t="s">
        <v>534</v>
      </c>
      <c r="E79" s="208"/>
      <c r="F79" s="220"/>
      <c r="G79" s="206"/>
      <c r="H79" s="206"/>
      <c r="I79" s="208"/>
      <c r="J79" s="220"/>
      <c r="K79" s="206"/>
    </row>
    <row r="80" spans="1:11" ht="27.75" thickTop="1" thickBot="1">
      <c r="A80" s="219">
        <f t="shared" si="2"/>
        <v>55</v>
      </c>
      <c r="B80" s="218">
        <f>+B79+B78</f>
        <v>-320887331.85000002</v>
      </c>
      <c r="C80" s="217" t="s">
        <v>535</v>
      </c>
      <c r="E80" s="208"/>
      <c r="F80" s="216"/>
      <c r="G80" s="206"/>
      <c r="H80" s="206"/>
      <c r="I80" s="208"/>
      <c r="J80" s="216"/>
      <c r="K80" s="206"/>
    </row>
    <row r="81" spans="1:11" ht="41.25" thickTop="1" thickBot="1">
      <c r="A81" s="215">
        <f t="shared" si="2"/>
        <v>56</v>
      </c>
      <c r="B81" s="214">
        <f>ROUND(+B80+B72,0)</f>
        <v>168628668</v>
      </c>
      <c r="C81" s="217" t="s">
        <v>536</v>
      </c>
      <c r="E81" s="208"/>
      <c r="F81" s="207"/>
      <c r="G81" s="206"/>
      <c r="H81" s="206"/>
      <c r="I81" s="208"/>
      <c r="J81" s="207"/>
      <c r="K81" s="206"/>
    </row>
    <row r="82" spans="1:11" ht="14.65" thickTop="1">
      <c r="B82" s="235">
        <v>168614894.88999999</v>
      </c>
      <c r="C82" s="234">
        <f>B81-B82</f>
        <v>13773.110000014305</v>
      </c>
      <c r="E82" s="233"/>
      <c r="G82" s="206"/>
      <c r="H82" s="206"/>
      <c r="K82" s="206"/>
    </row>
    <row r="84" spans="1:11">
      <c r="A84" s="212" t="s">
        <v>537</v>
      </c>
      <c r="E84" s="212"/>
      <c r="I84" s="212"/>
    </row>
    <row r="86" spans="1:11" ht="14.65" thickBot="1"/>
    <row r="87" spans="1:11" ht="15" thickTop="1" thickBot="1">
      <c r="A87" s="231" t="s">
        <v>465</v>
      </c>
      <c r="B87" s="230" t="s">
        <v>466</v>
      </c>
      <c r="C87" s="229" t="s">
        <v>467</v>
      </c>
      <c r="E87" s="228"/>
      <c r="F87" s="228"/>
      <c r="G87" s="228"/>
      <c r="H87" s="228"/>
      <c r="I87" s="228"/>
      <c r="J87" s="228"/>
      <c r="K87" s="228"/>
    </row>
    <row r="88" spans="1:11" ht="27.4" thickTop="1">
      <c r="A88" s="227">
        <f>+A81+1</f>
        <v>57</v>
      </c>
      <c r="B88" s="226">
        <v>7148261000</v>
      </c>
      <c r="C88" s="225" t="s">
        <v>538</v>
      </c>
      <c r="E88" s="208"/>
      <c r="F88" s="224"/>
      <c r="G88" s="206"/>
      <c r="H88" s="206"/>
      <c r="I88" s="208"/>
      <c r="J88" s="224"/>
      <c r="K88" s="206"/>
    </row>
    <row r="89" spans="1:11" ht="15">
      <c r="A89" s="222">
        <f t="shared" ref="A89:A101" si="3">+A88+1</f>
        <v>58</v>
      </c>
      <c r="B89" s="224">
        <v>0</v>
      </c>
      <c r="C89" s="221" t="s">
        <v>539</v>
      </c>
      <c r="E89" s="208"/>
      <c r="F89" s="224"/>
      <c r="G89" s="206"/>
      <c r="H89" s="206"/>
      <c r="I89" s="208"/>
      <c r="J89" s="224"/>
      <c r="K89" s="206"/>
    </row>
    <row r="90" spans="1:11" ht="27">
      <c r="A90" s="222">
        <f t="shared" si="3"/>
        <v>59</v>
      </c>
      <c r="B90" s="224">
        <v>0</v>
      </c>
      <c r="C90" s="221" t="s">
        <v>540</v>
      </c>
      <c r="E90" s="208"/>
      <c r="F90" s="224"/>
      <c r="G90" s="206"/>
      <c r="H90" s="206"/>
      <c r="I90" s="208"/>
      <c r="J90" s="224"/>
      <c r="K90" s="206"/>
    </row>
    <row r="91" spans="1:11" ht="27.4" thickBot="1">
      <c r="A91" s="222">
        <f t="shared" si="3"/>
        <v>60</v>
      </c>
      <c r="B91" s="224">
        <v>0</v>
      </c>
      <c r="C91" s="221" t="s">
        <v>541</v>
      </c>
      <c r="E91" s="208"/>
      <c r="F91" s="224"/>
      <c r="G91" s="206"/>
      <c r="H91" s="206"/>
      <c r="I91" s="208"/>
      <c r="J91" s="224"/>
      <c r="K91" s="206"/>
    </row>
    <row r="92" spans="1:11" ht="27.75" thickTop="1" thickBot="1">
      <c r="A92" s="219">
        <f t="shared" si="3"/>
        <v>61</v>
      </c>
      <c r="B92" s="223">
        <f>SUM(B88:B91)</f>
        <v>7148261000</v>
      </c>
      <c r="C92" s="217" t="s">
        <v>542</v>
      </c>
      <c r="E92" s="208"/>
      <c r="F92" s="207">
        <v>7161544000</v>
      </c>
      <c r="G92" s="206"/>
      <c r="H92" s="206"/>
      <c r="I92" s="208"/>
      <c r="J92" s="207"/>
      <c r="K92" s="206"/>
    </row>
    <row r="93" spans="1:11" ht="27.4" thickTop="1">
      <c r="A93" s="222">
        <f t="shared" si="3"/>
        <v>62</v>
      </c>
      <c r="B93" s="220">
        <f>-6168208000-3621</f>
        <v>-6168211621</v>
      </c>
      <c r="C93" s="221" t="s">
        <v>543</v>
      </c>
      <c r="E93" s="208"/>
      <c r="F93" s="220">
        <v>-6182289000</v>
      </c>
      <c r="G93" s="206"/>
      <c r="H93" s="206"/>
      <c r="I93" s="208"/>
      <c r="J93" s="220"/>
      <c r="K93" s="206"/>
    </row>
    <row r="94" spans="1:11" ht="27">
      <c r="A94" s="222">
        <f t="shared" si="3"/>
        <v>63</v>
      </c>
      <c r="B94" s="220">
        <v>-5040000</v>
      </c>
      <c r="C94" s="221" t="s">
        <v>544</v>
      </c>
      <c r="E94" s="208"/>
      <c r="F94" s="220"/>
      <c r="G94" s="206"/>
      <c r="H94" s="206"/>
      <c r="I94" s="208"/>
      <c r="J94" s="220"/>
      <c r="K94" s="206"/>
    </row>
    <row r="95" spans="1:11" ht="40.5">
      <c r="A95" s="222">
        <f t="shared" si="3"/>
        <v>64</v>
      </c>
      <c r="B95" s="220">
        <v>0</v>
      </c>
      <c r="C95" s="221" t="s">
        <v>545</v>
      </c>
      <c r="E95" s="208"/>
      <c r="F95" s="220"/>
      <c r="G95" s="206"/>
      <c r="H95" s="206"/>
      <c r="I95" s="208"/>
      <c r="J95" s="220"/>
      <c r="K95" s="206"/>
    </row>
    <row r="96" spans="1:11" ht="27">
      <c r="A96" s="222">
        <f t="shared" si="3"/>
        <v>65</v>
      </c>
      <c r="B96" s="220">
        <f>-969000000</f>
        <v>-969000000</v>
      </c>
      <c r="C96" s="221" t="s">
        <v>546</v>
      </c>
      <c r="E96" s="208"/>
      <c r="F96" s="220"/>
      <c r="G96" s="206"/>
      <c r="H96" s="206"/>
      <c r="I96" s="208"/>
      <c r="J96" s="220"/>
      <c r="K96" s="206"/>
    </row>
    <row r="97" spans="1:11" ht="27.4" thickBot="1">
      <c r="A97" s="222">
        <f t="shared" si="3"/>
        <v>66</v>
      </c>
      <c r="B97" s="220">
        <v>0</v>
      </c>
      <c r="C97" s="221" t="s">
        <v>547</v>
      </c>
      <c r="E97" s="208"/>
      <c r="F97" s="220"/>
      <c r="G97" s="206"/>
      <c r="H97" s="206"/>
      <c r="I97" s="208"/>
      <c r="J97" s="220"/>
      <c r="K97" s="206"/>
    </row>
    <row r="98" spans="1:11" ht="27.75" thickTop="1" thickBot="1">
      <c r="A98" s="219">
        <f t="shared" si="3"/>
        <v>67</v>
      </c>
      <c r="B98" s="218">
        <f>+B93+B94+B95+B96+B97</f>
        <v>-7142251621</v>
      </c>
      <c r="C98" s="217" t="s">
        <v>548</v>
      </c>
      <c r="E98" s="208"/>
      <c r="F98" s="216"/>
      <c r="G98" s="206"/>
      <c r="H98" s="206"/>
      <c r="I98" s="208"/>
      <c r="J98" s="216"/>
      <c r="K98" s="206"/>
    </row>
    <row r="99" spans="1:11" ht="27.75" thickTop="1" thickBot="1">
      <c r="A99" s="222">
        <f t="shared" si="3"/>
        <v>68</v>
      </c>
      <c r="B99" s="220">
        <v>0</v>
      </c>
      <c r="C99" s="221" t="s">
        <v>549</v>
      </c>
      <c r="E99" s="208"/>
      <c r="F99" s="220"/>
      <c r="G99" s="206"/>
      <c r="H99" s="206"/>
      <c r="I99" s="208"/>
      <c r="J99" s="220"/>
      <c r="K99" s="206"/>
    </row>
    <row r="100" spans="1:11" ht="27.75" thickTop="1" thickBot="1">
      <c r="A100" s="219">
        <f t="shared" si="3"/>
        <v>69</v>
      </c>
      <c r="B100" s="218">
        <f>+B99+B98</f>
        <v>-7142251621</v>
      </c>
      <c r="C100" s="217" t="s">
        <v>550</v>
      </c>
      <c r="E100" s="208"/>
      <c r="F100" s="216"/>
      <c r="G100" s="206"/>
      <c r="H100" s="206"/>
      <c r="I100" s="208"/>
      <c r="J100" s="216"/>
      <c r="K100" s="206"/>
    </row>
    <row r="101" spans="1:11" ht="41.25" thickTop="1" thickBot="1">
      <c r="A101" s="215">
        <f t="shared" si="3"/>
        <v>70</v>
      </c>
      <c r="B101" s="214">
        <f>ROUND(+B100+B92,0)</f>
        <v>6009379</v>
      </c>
      <c r="C101" s="213" t="s">
        <v>551</v>
      </c>
      <c r="E101" s="208"/>
      <c r="F101" s="207"/>
      <c r="G101" s="206"/>
      <c r="H101" s="206"/>
      <c r="I101" s="208"/>
      <c r="J101" s="207"/>
      <c r="K101" s="206"/>
    </row>
    <row r="102" spans="1:11" ht="14.65" thickTop="1">
      <c r="B102" s="72">
        <v>6009379</v>
      </c>
      <c r="C102" s="159">
        <f>B101-B102</f>
        <v>0</v>
      </c>
    </row>
    <row r="103" spans="1:11">
      <c r="B103" s="232">
        <f>B102-B101</f>
        <v>0</v>
      </c>
    </row>
    <row r="105" spans="1:11">
      <c r="A105" s="212" t="s">
        <v>552</v>
      </c>
      <c r="E105" s="212"/>
      <c r="I105" s="212"/>
    </row>
    <row r="106" spans="1:11" ht="14.65" thickBot="1"/>
    <row r="107" spans="1:11" ht="15" thickTop="1" thickBot="1">
      <c r="A107" s="231" t="s">
        <v>465</v>
      </c>
      <c r="B107" s="230" t="s">
        <v>466</v>
      </c>
      <c r="C107" s="229" t="s">
        <v>467</v>
      </c>
      <c r="E107" s="228"/>
      <c r="F107" s="228"/>
      <c r="G107" s="228"/>
      <c r="H107" s="228"/>
      <c r="I107" s="228"/>
      <c r="J107" s="228"/>
      <c r="K107" s="228"/>
    </row>
    <row r="108" spans="1:11" ht="27.4" thickTop="1">
      <c r="A108" s="227">
        <f>+A101+1</f>
        <v>71</v>
      </c>
      <c r="B108" s="226">
        <v>65687000</v>
      </c>
      <c r="C108" s="225" t="s">
        <v>553</v>
      </c>
      <c r="E108" s="208"/>
      <c r="F108" s="224"/>
      <c r="G108" s="206"/>
      <c r="H108" s="206"/>
      <c r="I108" s="208"/>
      <c r="J108" s="224"/>
      <c r="K108" s="206"/>
    </row>
    <row r="109" spans="1:11" ht="15">
      <c r="A109" s="222">
        <f t="shared" ref="A109:A121" si="4">+A108+1</f>
        <v>72</v>
      </c>
      <c r="B109" s="224">
        <v>0</v>
      </c>
      <c r="C109" s="221" t="s">
        <v>554</v>
      </c>
      <c r="E109" s="208"/>
      <c r="F109" s="224"/>
      <c r="G109" s="206"/>
      <c r="H109" s="206"/>
      <c r="I109" s="208"/>
      <c r="J109" s="224"/>
      <c r="K109" s="206"/>
    </row>
    <row r="110" spans="1:11" ht="27">
      <c r="A110" s="222">
        <f t="shared" si="4"/>
        <v>73</v>
      </c>
      <c r="B110" s="224">
        <v>0</v>
      </c>
      <c r="C110" s="221" t="s">
        <v>555</v>
      </c>
      <c r="E110" s="208"/>
      <c r="F110" s="224"/>
      <c r="G110" s="206"/>
      <c r="H110" s="206"/>
      <c r="I110" s="208"/>
      <c r="J110" s="224"/>
      <c r="K110" s="206"/>
    </row>
    <row r="111" spans="1:11" ht="27.4" thickBot="1">
      <c r="A111" s="222">
        <f t="shared" si="4"/>
        <v>74</v>
      </c>
      <c r="B111" s="224">
        <v>0</v>
      </c>
      <c r="C111" s="221" t="s">
        <v>556</v>
      </c>
      <c r="E111" s="208"/>
      <c r="F111" s="224"/>
      <c r="G111" s="206"/>
      <c r="H111" s="206"/>
      <c r="I111" s="208"/>
      <c r="J111" s="224"/>
      <c r="K111" s="206"/>
    </row>
    <row r="112" spans="1:11" ht="27.75" thickTop="1" thickBot="1">
      <c r="A112" s="219">
        <f t="shared" si="4"/>
        <v>75</v>
      </c>
      <c r="B112" s="223">
        <f>SUM(B108:B111)</f>
        <v>65687000</v>
      </c>
      <c r="C112" s="217" t="s">
        <v>557</v>
      </c>
      <c r="E112" s="208"/>
      <c r="F112" s="207"/>
      <c r="G112" s="206"/>
      <c r="H112" s="206"/>
      <c r="I112" s="208"/>
      <c r="J112" s="207"/>
      <c r="K112" s="206"/>
    </row>
    <row r="113" spans="1:11" ht="27.4" thickTop="1">
      <c r="A113" s="222">
        <f t="shared" si="4"/>
        <v>76</v>
      </c>
      <c r="B113" s="220">
        <f>-15234000-12975000</f>
        <v>-28209000</v>
      </c>
      <c r="C113" s="221" t="s">
        <v>558</v>
      </c>
      <c r="E113" s="208"/>
      <c r="F113" s="220"/>
      <c r="G113" s="206"/>
      <c r="H113" s="206"/>
      <c r="I113" s="208"/>
      <c r="J113" s="220"/>
      <c r="K113" s="206"/>
    </row>
    <row r="114" spans="1:11" ht="27">
      <c r="A114" s="222">
        <f t="shared" si="4"/>
        <v>77</v>
      </c>
      <c r="B114" s="220">
        <v>0</v>
      </c>
      <c r="C114" s="221" t="s">
        <v>559</v>
      </c>
      <c r="E114" s="208"/>
      <c r="F114" s="220"/>
      <c r="G114" s="206"/>
      <c r="H114" s="206"/>
      <c r="I114" s="208"/>
      <c r="J114" s="220"/>
      <c r="K114" s="206"/>
    </row>
    <row r="115" spans="1:11" ht="27">
      <c r="A115" s="222">
        <f t="shared" si="4"/>
        <v>78</v>
      </c>
      <c r="B115" s="220">
        <v>0</v>
      </c>
      <c r="C115" s="221" t="s">
        <v>560</v>
      </c>
      <c r="E115" s="208"/>
      <c r="F115" s="220"/>
      <c r="G115" s="206"/>
      <c r="H115" s="206"/>
      <c r="I115" s="208"/>
      <c r="J115" s="220"/>
      <c r="K115" s="206"/>
    </row>
    <row r="116" spans="1:11" ht="27">
      <c r="A116" s="222">
        <f t="shared" si="4"/>
        <v>79</v>
      </c>
      <c r="B116" s="220">
        <v>-32627000</v>
      </c>
      <c r="C116" s="221" t="s">
        <v>561</v>
      </c>
      <c r="E116" s="208"/>
      <c r="F116" s="220"/>
      <c r="G116" s="206"/>
      <c r="H116" s="206"/>
      <c r="I116" s="208"/>
      <c r="J116" s="220"/>
      <c r="K116" s="206"/>
    </row>
    <row r="117" spans="1:11" ht="27.4" thickBot="1">
      <c r="A117" s="222">
        <f t="shared" si="4"/>
        <v>80</v>
      </c>
      <c r="B117" s="220">
        <v>0</v>
      </c>
      <c r="C117" s="221" t="s">
        <v>562</v>
      </c>
      <c r="E117" s="208"/>
      <c r="F117" s="220"/>
      <c r="G117" s="206"/>
      <c r="H117" s="206"/>
      <c r="I117" s="208"/>
      <c r="J117" s="220"/>
      <c r="K117" s="206"/>
    </row>
    <row r="118" spans="1:11" ht="27.75" thickTop="1" thickBot="1">
      <c r="A118" s="219">
        <f t="shared" si="4"/>
        <v>81</v>
      </c>
      <c r="B118" s="218">
        <f>SUM(B113:B117)</f>
        <v>-60836000</v>
      </c>
      <c r="C118" s="217" t="s">
        <v>563</v>
      </c>
      <c r="E118" s="208"/>
      <c r="F118" s="216"/>
      <c r="G118" s="206"/>
      <c r="H118" s="206"/>
      <c r="I118" s="208"/>
      <c r="J118" s="216"/>
      <c r="K118" s="206"/>
    </row>
    <row r="119" spans="1:11" ht="27.75" thickTop="1" thickBot="1">
      <c r="A119" s="222">
        <f t="shared" si="4"/>
        <v>82</v>
      </c>
      <c r="B119" s="220">
        <v>-4851000</v>
      </c>
      <c r="C119" s="221" t="s">
        <v>564</v>
      </c>
      <c r="E119" s="208"/>
      <c r="F119" s="220"/>
      <c r="G119" s="206"/>
      <c r="H119" s="206"/>
      <c r="I119" s="208"/>
      <c r="J119" s="220"/>
      <c r="K119" s="206"/>
    </row>
    <row r="120" spans="1:11" ht="27.75" thickTop="1" thickBot="1">
      <c r="A120" s="219">
        <f t="shared" si="4"/>
        <v>83</v>
      </c>
      <c r="B120" s="218">
        <f>+B119+B118</f>
        <v>-65687000</v>
      </c>
      <c r="C120" s="217" t="s">
        <v>565</v>
      </c>
      <c r="E120" s="208"/>
      <c r="F120" s="216"/>
      <c r="G120" s="206"/>
      <c r="H120" s="206"/>
      <c r="I120" s="208"/>
      <c r="J120" s="216"/>
      <c r="K120" s="206"/>
    </row>
    <row r="121" spans="1:11" ht="41.25" thickTop="1" thickBot="1">
      <c r="A121" s="215">
        <f t="shared" si="4"/>
        <v>84</v>
      </c>
      <c r="B121" s="214">
        <f>ROUND(+B120+B112,0)</f>
        <v>0</v>
      </c>
      <c r="C121" s="213" t="s">
        <v>566</v>
      </c>
      <c r="E121" s="208"/>
      <c r="F121" s="207"/>
      <c r="G121" s="206"/>
      <c r="H121" s="206"/>
      <c r="I121" s="208"/>
      <c r="J121" s="207"/>
      <c r="K121" s="206"/>
    </row>
    <row r="122" spans="1:11" ht="14.65" thickTop="1">
      <c r="B122">
        <v>0</v>
      </c>
    </row>
    <row r="124" spans="1:11">
      <c r="A124" s="212" t="s">
        <v>567</v>
      </c>
      <c r="E124" s="212"/>
      <c r="I124" s="212"/>
    </row>
    <row r="125" spans="1:11" ht="14.65" thickBot="1"/>
    <row r="126" spans="1:11" ht="15" thickTop="1" thickBot="1">
      <c r="A126" s="231" t="s">
        <v>465</v>
      </c>
      <c r="B126" s="230" t="s">
        <v>466</v>
      </c>
      <c r="C126" s="229" t="s">
        <v>467</v>
      </c>
      <c r="E126" s="228"/>
      <c r="F126" s="228"/>
      <c r="G126" s="228"/>
      <c r="H126" s="228"/>
      <c r="I126" s="228"/>
      <c r="J126" s="228"/>
      <c r="K126" s="228"/>
    </row>
    <row r="127" spans="1:11" ht="27.4" thickTop="1">
      <c r="A127" s="227">
        <f>+A121+1</f>
        <v>85</v>
      </c>
      <c r="B127" s="226">
        <v>8600000</v>
      </c>
      <c r="C127" s="225" t="s">
        <v>568</v>
      </c>
      <c r="E127" s="208"/>
      <c r="F127" s="224"/>
      <c r="G127" s="206"/>
      <c r="H127" s="206"/>
      <c r="I127" s="208"/>
      <c r="J127" s="224"/>
      <c r="K127" s="206"/>
    </row>
    <row r="128" spans="1:11" ht="15">
      <c r="A128" s="222">
        <f t="shared" ref="A128:A140" si="5">+A127+1</f>
        <v>86</v>
      </c>
      <c r="B128" s="224">
        <v>0</v>
      </c>
      <c r="C128" s="221" t="s">
        <v>569</v>
      </c>
      <c r="E128" s="208"/>
      <c r="F128" s="224"/>
      <c r="G128" s="206"/>
      <c r="H128" s="206"/>
      <c r="I128" s="208"/>
      <c r="J128" s="224"/>
      <c r="K128" s="206"/>
    </row>
    <row r="129" spans="1:11" ht="27">
      <c r="A129" s="222">
        <f t="shared" si="5"/>
        <v>87</v>
      </c>
      <c r="B129" s="224">
        <v>0</v>
      </c>
      <c r="C129" s="221" t="s">
        <v>570</v>
      </c>
      <c r="E129" s="208"/>
      <c r="F129" s="224"/>
      <c r="G129" s="206"/>
      <c r="H129" s="206"/>
      <c r="I129" s="208"/>
      <c r="J129" s="224"/>
      <c r="K129" s="206"/>
    </row>
    <row r="130" spans="1:11" ht="27.4" thickBot="1">
      <c r="A130" s="222">
        <f t="shared" si="5"/>
        <v>88</v>
      </c>
      <c r="B130" s="224">
        <v>0</v>
      </c>
      <c r="C130" s="221" t="s">
        <v>571</v>
      </c>
      <c r="E130" s="208"/>
      <c r="F130" s="224"/>
      <c r="G130" s="206"/>
      <c r="H130" s="206"/>
      <c r="I130" s="208"/>
      <c r="J130" s="224"/>
      <c r="K130" s="206"/>
    </row>
    <row r="131" spans="1:11" ht="27.75" thickTop="1" thickBot="1">
      <c r="A131" s="219">
        <f t="shared" si="5"/>
        <v>89</v>
      </c>
      <c r="B131" s="223">
        <f>SUM(B127:B130)</f>
        <v>8600000</v>
      </c>
      <c r="C131" s="217" t="s">
        <v>572</v>
      </c>
      <c r="E131" s="208"/>
      <c r="F131" s="207"/>
      <c r="G131" s="206"/>
      <c r="H131" s="206"/>
      <c r="I131" s="208"/>
      <c r="J131" s="207"/>
      <c r="K131" s="206"/>
    </row>
    <row r="132" spans="1:11" ht="27.4" thickTop="1">
      <c r="A132" s="222">
        <f t="shared" si="5"/>
        <v>90</v>
      </c>
      <c r="B132" s="220">
        <v>-800000</v>
      </c>
      <c r="C132" s="221" t="s">
        <v>573</v>
      </c>
      <c r="E132" s="208"/>
      <c r="F132" s="220"/>
      <c r="G132" s="206"/>
      <c r="H132" s="206"/>
      <c r="I132" s="208"/>
      <c r="J132" s="220"/>
      <c r="K132" s="206"/>
    </row>
    <row r="133" spans="1:11" ht="27">
      <c r="A133" s="222">
        <f t="shared" si="5"/>
        <v>91</v>
      </c>
      <c r="B133" s="220">
        <v>0</v>
      </c>
      <c r="C133" s="221" t="s">
        <v>574</v>
      </c>
      <c r="E133" s="208"/>
      <c r="F133" s="220"/>
      <c r="G133" s="206"/>
      <c r="H133" s="206"/>
      <c r="I133" s="208"/>
      <c r="J133" s="220"/>
      <c r="K133" s="206"/>
    </row>
    <row r="134" spans="1:11" ht="27">
      <c r="A134" s="222">
        <f t="shared" si="5"/>
        <v>92</v>
      </c>
      <c r="B134" s="220">
        <v>0</v>
      </c>
      <c r="C134" s="221" t="s">
        <v>575</v>
      </c>
      <c r="E134" s="208"/>
      <c r="F134" s="220"/>
      <c r="G134" s="206"/>
      <c r="H134" s="206"/>
      <c r="I134" s="208"/>
      <c r="J134" s="220"/>
      <c r="K134" s="206"/>
    </row>
    <row r="135" spans="1:11" ht="27">
      <c r="A135" s="222">
        <f t="shared" si="5"/>
        <v>93</v>
      </c>
      <c r="B135" s="220">
        <v>-7800000</v>
      </c>
      <c r="C135" s="221" t="s">
        <v>576</v>
      </c>
      <c r="E135" s="208"/>
      <c r="F135" s="220"/>
      <c r="G135" s="206"/>
      <c r="H135" s="206"/>
      <c r="I135" s="208"/>
      <c r="J135" s="220"/>
      <c r="K135" s="206"/>
    </row>
    <row r="136" spans="1:11" ht="27.4" thickBot="1">
      <c r="A136" s="222">
        <f t="shared" si="5"/>
        <v>94</v>
      </c>
      <c r="B136" s="220">
        <v>0</v>
      </c>
      <c r="C136" s="221" t="s">
        <v>577</v>
      </c>
      <c r="E136" s="208"/>
      <c r="F136" s="220"/>
      <c r="G136" s="206"/>
      <c r="H136" s="206"/>
      <c r="I136" s="208"/>
      <c r="J136" s="220"/>
      <c r="K136" s="206"/>
    </row>
    <row r="137" spans="1:11" ht="27.75" thickTop="1" thickBot="1">
      <c r="A137" s="219">
        <f t="shared" si="5"/>
        <v>95</v>
      </c>
      <c r="B137" s="218">
        <f>SUM(B132:B136)</f>
        <v>-8600000</v>
      </c>
      <c r="C137" s="217" t="s">
        <v>563</v>
      </c>
      <c r="E137" s="208"/>
      <c r="F137" s="216"/>
      <c r="G137" s="206"/>
      <c r="H137" s="206"/>
      <c r="I137" s="208"/>
      <c r="J137" s="216"/>
      <c r="K137" s="206"/>
    </row>
    <row r="138" spans="1:11" ht="27.75" thickTop="1" thickBot="1">
      <c r="A138" s="222">
        <f t="shared" si="5"/>
        <v>96</v>
      </c>
      <c r="B138" s="220">
        <v>0</v>
      </c>
      <c r="C138" s="221" t="s">
        <v>578</v>
      </c>
      <c r="E138" s="208"/>
      <c r="F138" s="220"/>
      <c r="G138" s="206"/>
      <c r="H138" s="206"/>
      <c r="I138" s="208"/>
      <c r="J138" s="220"/>
      <c r="K138" s="206"/>
    </row>
    <row r="139" spans="1:11" ht="27.75" thickTop="1" thickBot="1">
      <c r="A139" s="219">
        <f t="shared" si="5"/>
        <v>97</v>
      </c>
      <c r="B139" s="218">
        <f>+B138+B137</f>
        <v>-8600000</v>
      </c>
      <c r="C139" s="217" t="s">
        <v>579</v>
      </c>
      <c r="E139" s="208"/>
      <c r="F139" s="216"/>
      <c r="G139" s="206"/>
      <c r="H139" s="206"/>
      <c r="I139" s="208"/>
      <c r="J139" s="216"/>
      <c r="K139" s="206"/>
    </row>
    <row r="140" spans="1:11" ht="41.25" thickTop="1" thickBot="1">
      <c r="A140" s="215">
        <f t="shared" si="5"/>
        <v>98</v>
      </c>
      <c r="B140" s="214">
        <f>ROUND(+B139+B131,0)</f>
        <v>0</v>
      </c>
      <c r="C140" s="213" t="s">
        <v>580</v>
      </c>
      <c r="E140" s="208"/>
      <c r="F140" s="207"/>
      <c r="G140" s="206"/>
      <c r="H140" s="206"/>
      <c r="I140" s="208"/>
      <c r="J140" s="207"/>
      <c r="K140" s="206"/>
    </row>
    <row r="141" spans="1:11" ht="14.65" thickTop="1"/>
    <row r="144" spans="1:11" ht="14.65" thickBot="1">
      <c r="A144" s="212" t="s">
        <v>581</v>
      </c>
      <c r="E144" s="212"/>
      <c r="I144" s="212"/>
    </row>
    <row r="145" spans="1:11" ht="41.25" thickTop="1" thickBot="1">
      <c r="A145" s="211">
        <f>+A140+1</f>
        <v>99</v>
      </c>
      <c r="B145" s="210">
        <f>+B140+B121+B101+B81+B61+B40+B20</f>
        <v>1010907032.6800002</v>
      </c>
      <c r="C145" s="209" t="s">
        <v>582</v>
      </c>
      <c r="E145" s="208"/>
      <c r="F145" s="207"/>
      <c r="G145" s="206"/>
      <c r="H145" s="206"/>
      <c r="I145" s="208"/>
      <c r="J145" s="207"/>
      <c r="K145" s="206"/>
    </row>
    <row r="146" spans="1:11" ht="14.65" thickTop="1"/>
    <row r="147" spans="1:11">
      <c r="B147" s="204" t="s">
        <v>583</v>
      </c>
    </row>
    <row r="148" spans="1:11">
      <c r="A148" s="203" t="s">
        <v>584</v>
      </c>
      <c r="B148" s="205">
        <v>3050446.24</v>
      </c>
    </row>
    <row r="149" spans="1:11">
      <c r="A149" s="203" t="s">
        <v>585</v>
      </c>
      <c r="B149" s="205">
        <v>3042297.07</v>
      </c>
    </row>
    <row r="150" spans="1:11">
      <c r="B150" s="205"/>
    </row>
    <row r="151" spans="1:11">
      <c r="B151" s="204" t="s">
        <v>431</v>
      </c>
    </row>
    <row r="152" spans="1:11">
      <c r="A152" s="203" t="s">
        <v>584</v>
      </c>
      <c r="B152" s="202">
        <f>+C152*B148</f>
        <v>243852672.42560002</v>
      </c>
      <c r="C152" s="201">
        <v>79.94</v>
      </c>
      <c r="F152" s="199"/>
      <c r="G152" s="200"/>
      <c r="H152" s="200"/>
      <c r="J152" s="199"/>
      <c r="K152" s="200"/>
    </row>
    <row r="153" spans="1:11">
      <c r="A153" s="203" t="s">
        <v>585</v>
      </c>
      <c r="B153" s="202">
        <f>+C153*B149</f>
        <v>767054360.25909996</v>
      </c>
      <c r="C153" s="201">
        <v>252.13</v>
      </c>
      <c r="F153" s="199"/>
      <c r="G153" s="200"/>
      <c r="H153" s="200"/>
      <c r="J153" s="199"/>
      <c r="K153" s="200"/>
    </row>
    <row r="154" spans="1:11">
      <c r="B154" s="159">
        <f>+B152+B153</f>
        <v>1010907032.6847</v>
      </c>
      <c r="C154" s="201">
        <f>+C152+C153</f>
        <v>332.07</v>
      </c>
      <c r="F154" s="199"/>
      <c r="G154" s="200"/>
      <c r="H154" s="200"/>
      <c r="J154" s="199"/>
      <c r="K154" s="200"/>
    </row>
    <row r="156" spans="1:11" ht="14.65" thickBot="1">
      <c r="B156" s="199"/>
      <c r="F156" s="199"/>
      <c r="J156" s="199"/>
    </row>
    <row r="157" spans="1:11" ht="15.4" thickBot="1">
      <c r="B157" s="198" t="s">
        <v>586</v>
      </c>
      <c r="C157" s="197" t="s">
        <v>587</v>
      </c>
    </row>
    <row r="158" spans="1:11" ht="15.4" thickBot="1">
      <c r="B158" s="196" t="s">
        <v>588</v>
      </c>
      <c r="C158" s="195">
        <v>66591241.419999838</v>
      </c>
    </row>
    <row r="159" spans="1:11" ht="15.4" thickBot="1">
      <c r="B159" s="196" t="s">
        <v>589</v>
      </c>
      <c r="C159" s="195">
        <v>2623384</v>
      </c>
    </row>
    <row r="160" spans="1:11" ht="30.4" thickBot="1">
      <c r="B160" s="196" t="s">
        <v>386</v>
      </c>
      <c r="C160" s="195">
        <v>767054360.26000023</v>
      </c>
    </row>
    <row r="161" spans="2:3" ht="30.4" thickBot="1">
      <c r="B161" s="196" t="s">
        <v>389</v>
      </c>
      <c r="C161" s="195">
        <v>168628668</v>
      </c>
    </row>
    <row r="162" spans="2:3" ht="15.4" thickBot="1">
      <c r="B162" s="196" t="s">
        <v>590</v>
      </c>
      <c r="C162" s="195">
        <v>6009379</v>
      </c>
    </row>
    <row r="163" spans="2:3" ht="45.4" thickBot="1">
      <c r="B163" s="196" t="s">
        <v>50</v>
      </c>
      <c r="C163" s="195">
        <v>0</v>
      </c>
    </row>
    <row r="164" spans="2:3" ht="45.4" thickBot="1">
      <c r="B164" s="196" t="s">
        <v>57</v>
      </c>
      <c r="C164" s="195">
        <v>0</v>
      </c>
    </row>
    <row r="165" spans="2:3" ht="45.4" thickBot="1">
      <c r="B165" s="194" t="s">
        <v>591</v>
      </c>
      <c r="C165" s="193">
        <f>SUM(C158:C164)</f>
        <v>1010907032.6800001</v>
      </c>
    </row>
  </sheetData>
  <pageMargins left="0.70866141732283472" right="0.70866141732283472" top="0.74803149606299213" bottom="0.74803149606299213" header="0.31496062992125984" footer="0.31496062992125984"/>
  <pageSetup paperSize="9" scale="45" orientation="landscape" r:id="rId1"/>
  <rowBreaks count="8" manualBreakCount="8">
    <brk id="22" max="10" man="1"/>
    <brk id="41" max="16383" man="1"/>
    <brk id="62" max="2" man="1"/>
    <brk id="82" max="2" man="1"/>
    <brk id="101" max="16383" man="1"/>
    <brk id="104" max="2" man="1"/>
    <brk id="123" max="3" man="1"/>
    <brk id="1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C3:I81"/>
  <sheetViews>
    <sheetView workbookViewId="0">
      <selection activeCell="J8" sqref="J8"/>
    </sheetView>
  </sheetViews>
  <sheetFormatPr defaultColWidth="9.1328125" defaultRowHeight="14.25"/>
  <cols>
    <col min="1" max="2" width="9.1328125" style="36"/>
    <col min="3" max="3" width="46.1328125" style="36" customWidth="1"/>
    <col min="4" max="16384" width="9.1328125" style="36"/>
  </cols>
  <sheetData>
    <row r="3" spans="3:5">
      <c r="C3" s="53"/>
      <c r="D3" s="53" t="s">
        <v>1</v>
      </c>
      <c r="E3" s="53" t="s">
        <v>2</v>
      </c>
    </row>
    <row r="4" spans="3:5">
      <c r="C4" s="54" t="s">
        <v>24</v>
      </c>
      <c r="D4" s="55">
        <f>-SUM(D5:D6)+4.1</f>
        <v>6.3469999999999995</v>
      </c>
      <c r="E4" s="55">
        <f>D11</f>
        <v>2.5999999999999996</v>
      </c>
    </row>
    <row r="5" spans="3:5">
      <c r="C5" s="36" t="s">
        <v>592</v>
      </c>
      <c r="D5" s="56">
        <v>-1.71</v>
      </c>
    </row>
    <row r="6" spans="3:5">
      <c r="C6" s="36" t="s">
        <v>593</v>
      </c>
      <c r="D6" s="56">
        <v>-0.53700000000000003</v>
      </c>
    </row>
    <row r="7" spans="3:5">
      <c r="C7" s="36" t="s">
        <v>594</v>
      </c>
      <c r="D7" s="56">
        <v>-1.5</v>
      </c>
    </row>
    <row r="8" spans="3:5">
      <c r="C8" s="36" t="s">
        <v>595</v>
      </c>
      <c r="D8" s="56"/>
      <c r="E8" s="56">
        <v>1.5</v>
      </c>
    </row>
    <row r="9" spans="3:5">
      <c r="C9" s="36" t="s">
        <v>596</v>
      </c>
      <c r="D9" s="56"/>
      <c r="E9" s="56">
        <v>0.8</v>
      </c>
    </row>
    <row r="10" spans="3:5">
      <c r="C10" s="36" t="s">
        <v>597</v>
      </c>
      <c r="D10" s="56"/>
      <c r="E10" s="56">
        <v>0.1</v>
      </c>
    </row>
    <row r="11" spans="3:5">
      <c r="C11" s="54" t="s">
        <v>28</v>
      </c>
      <c r="D11" s="55">
        <f>SUM(D4:D7)</f>
        <v>2.5999999999999996</v>
      </c>
      <c r="E11" s="55">
        <f>SUM(E4:E10)</f>
        <v>4.9999999999999991</v>
      </c>
    </row>
    <row r="13" spans="3:5">
      <c r="C13" s="57" t="s">
        <v>598</v>
      </c>
    </row>
    <row r="17" spans="3:8" ht="14.65" thickBot="1"/>
    <row r="18" spans="3:8">
      <c r="C18" s="483" t="s">
        <v>599</v>
      </c>
      <c r="D18" s="22" t="s">
        <v>2</v>
      </c>
      <c r="E18" s="23" t="s">
        <v>3</v>
      </c>
      <c r="F18" s="22" t="s">
        <v>4</v>
      </c>
      <c r="G18" s="22" t="s">
        <v>127</v>
      </c>
      <c r="H18" s="73" t="s">
        <v>128</v>
      </c>
    </row>
    <row r="19" spans="3:8" ht="14.65" thickBot="1">
      <c r="C19" s="484"/>
      <c r="D19" s="1" t="s">
        <v>40</v>
      </c>
      <c r="E19" s="2" t="s">
        <v>40</v>
      </c>
      <c r="F19" s="1" t="s">
        <v>40</v>
      </c>
      <c r="G19" s="1" t="s">
        <v>40</v>
      </c>
      <c r="H19" s="3" t="s">
        <v>40</v>
      </c>
    </row>
    <row r="20" spans="3:8" ht="14.65" thickBot="1">
      <c r="C20" s="78" t="s">
        <v>600</v>
      </c>
      <c r="D20" s="1">
        <v>3.137</v>
      </c>
      <c r="E20" s="18">
        <f>D27</f>
        <v>9.4561698100000005</v>
      </c>
      <c r="F20" s="17">
        <f>E27</f>
        <v>4.5561698100000001</v>
      </c>
      <c r="G20" s="17">
        <f t="shared" ref="G20:H20" si="0">F27</f>
        <v>3.5561698100000001</v>
      </c>
      <c r="H20" s="17">
        <f t="shared" si="0"/>
        <v>3.5561698100000001</v>
      </c>
    </row>
    <row r="21" spans="3:8">
      <c r="C21" s="40" t="s">
        <v>601</v>
      </c>
      <c r="D21" s="41">
        <v>1.86316981</v>
      </c>
      <c r="E21" s="11"/>
      <c r="F21" s="41"/>
      <c r="G21" s="41"/>
      <c r="H21" s="75"/>
    </row>
    <row r="22" spans="3:8">
      <c r="C22" s="40" t="s">
        <v>602</v>
      </c>
      <c r="D22" s="41">
        <v>9.9749999999999996</v>
      </c>
      <c r="E22" s="11"/>
      <c r="F22" s="41"/>
      <c r="G22" s="41"/>
      <c r="H22" s="75"/>
    </row>
    <row r="23" spans="3:8">
      <c r="C23" s="40" t="s">
        <v>603</v>
      </c>
      <c r="D23" s="41">
        <v>-4.0999999999999996</v>
      </c>
      <c r="E23" s="11">
        <v>-4.9000000000000004</v>
      </c>
      <c r="F23" s="41">
        <v>-1</v>
      </c>
      <c r="G23" s="41">
        <v>0</v>
      </c>
      <c r="H23" s="75">
        <v>0</v>
      </c>
    </row>
    <row r="24" spans="3:8">
      <c r="C24" s="40" t="s">
        <v>604</v>
      </c>
      <c r="D24" s="41">
        <f>-0.184-1.235</f>
        <v>-1.419</v>
      </c>
      <c r="E24" s="11"/>
      <c r="F24" s="41"/>
      <c r="G24" s="41"/>
      <c r="H24" s="75"/>
    </row>
    <row r="25" spans="3:8">
      <c r="C25" s="40" t="s">
        <v>114</v>
      </c>
      <c r="D25" s="41"/>
      <c r="E25" s="11"/>
      <c r="F25" s="41"/>
      <c r="G25" s="41"/>
      <c r="H25" s="75"/>
    </row>
    <row r="26" spans="3:8" ht="14.65" thickBot="1">
      <c r="C26" s="39" t="s">
        <v>235</v>
      </c>
      <c r="D26" s="76"/>
      <c r="E26" s="10"/>
      <c r="F26" s="76"/>
      <c r="G26" s="76"/>
      <c r="H26" s="77"/>
    </row>
    <row r="27" spans="3:8" ht="14.65" thickBot="1">
      <c r="C27" s="12" t="s">
        <v>605</v>
      </c>
      <c r="D27" s="17">
        <f>SUM(D20:D26)</f>
        <v>9.4561698100000005</v>
      </c>
      <c r="E27" s="18">
        <f>SUM(E20:E26)</f>
        <v>4.5561698100000001</v>
      </c>
      <c r="F27" s="17">
        <f>SUM(F20:F26)</f>
        <v>3.5561698100000001</v>
      </c>
      <c r="G27" s="17">
        <f t="shared" ref="G27:H27" si="1">SUM(G20:G26)</f>
        <v>3.5561698100000001</v>
      </c>
      <c r="H27" s="17">
        <f t="shared" si="1"/>
        <v>3.5561698100000001</v>
      </c>
    </row>
    <row r="31" spans="3:8" ht="14.65" thickBot="1"/>
    <row r="32" spans="3:8">
      <c r="C32" s="483" t="s">
        <v>606</v>
      </c>
      <c r="D32" s="22" t="s">
        <v>2</v>
      </c>
      <c r="E32" s="23" t="s">
        <v>3</v>
      </c>
      <c r="F32" s="22" t="s">
        <v>4</v>
      </c>
      <c r="G32" s="22" t="s">
        <v>127</v>
      </c>
      <c r="H32" s="73" t="s">
        <v>128</v>
      </c>
    </row>
    <row r="33" spans="3:8" ht="14.65" thickBot="1">
      <c r="C33" s="484"/>
      <c r="D33" s="1" t="s">
        <v>40</v>
      </c>
      <c r="E33" s="2" t="s">
        <v>40</v>
      </c>
      <c r="F33" s="1" t="s">
        <v>40</v>
      </c>
      <c r="G33" s="1" t="s">
        <v>40</v>
      </c>
      <c r="H33" s="3" t="s">
        <v>40</v>
      </c>
    </row>
    <row r="34" spans="3:8" ht="14.65" thickBot="1">
      <c r="C34" s="78" t="s">
        <v>600</v>
      </c>
      <c r="D34" s="1">
        <v>188.2</v>
      </c>
      <c r="E34" s="18">
        <f>D38</f>
        <v>169.95099999999999</v>
      </c>
      <c r="F34" s="17">
        <f>E38</f>
        <v>188.2</v>
      </c>
      <c r="G34" s="17">
        <f t="shared" ref="G34:H34" si="2">F38</f>
        <v>188.2</v>
      </c>
      <c r="H34" s="17">
        <f t="shared" si="2"/>
        <v>188.2</v>
      </c>
    </row>
    <row r="35" spans="3:8">
      <c r="C35" s="40" t="s">
        <v>607</v>
      </c>
      <c r="D35" s="41">
        <v>-17.5</v>
      </c>
      <c r="E35" s="11"/>
      <c r="F35" s="41"/>
      <c r="G35" s="41"/>
      <c r="H35" s="75"/>
    </row>
    <row r="36" spans="3:8">
      <c r="C36" s="40" t="s">
        <v>608</v>
      </c>
      <c r="D36" s="41">
        <v>-0.749</v>
      </c>
      <c r="E36" s="11"/>
      <c r="F36" s="41"/>
      <c r="G36" s="41"/>
      <c r="H36" s="75"/>
    </row>
    <row r="37" spans="3:8" ht="14.65" thickBot="1">
      <c r="C37" s="39" t="s">
        <v>609</v>
      </c>
      <c r="D37" s="76"/>
      <c r="E37" s="10">
        <f>-SUM(D35:D36)</f>
        <v>18.248999999999999</v>
      </c>
      <c r="F37" s="76"/>
      <c r="G37" s="76"/>
      <c r="H37" s="77"/>
    </row>
    <row r="38" spans="3:8" ht="14.65" thickBot="1">
      <c r="C38" s="12" t="s">
        <v>605</v>
      </c>
      <c r="D38" s="17">
        <f>SUM(D34:D37)</f>
        <v>169.95099999999999</v>
      </c>
      <c r="E38" s="18">
        <f>SUM(E34:E37)</f>
        <v>188.2</v>
      </c>
      <c r="F38" s="17">
        <f>SUM(F34:F37)</f>
        <v>188.2</v>
      </c>
      <c r="G38" s="17">
        <f>SUM(G34:G37)</f>
        <v>188.2</v>
      </c>
      <c r="H38" s="17">
        <f>SUM(H34:H37)</f>
        <v>188.2</v>
      </c>
    </row>
    <row r="40" spans="3:8" ht="14.65" thickBot="1"/>
    <row r="41" spans="3:8">
      <c r="C41" s="483" t="s">
        <v>610</v>
      </c>
      <c r="D41" s="22" t="s">
        <v>2</v>
      </c>
      <c r="E41" s="23" t="s">
        <v>3</v>
      </c>
      <c r="F41" s="22" t="s">
        <v>4</v>
      </c>
      <c r="G41" s="22" t="s">
        <v>127</v>
      </c>
      <c r="H41" s="73" t="s">
        <v>128</v>
      </c>
    </row>
    <row r="42" spans="3:8" ht="14.65" thickBot="1">
      <c r="C42" s="484"/>
      <c r="D42" s="1" t="s">
        <v>40</v>
      </c>
      <c r="E42" s="2" t="s">
        <v>40</v>
      </c>
      <c r="F42" s="1" t="s">
        <v>40</v>
      </c>
      <c r="G42" s="1" t="s">
        <v>40</v>
      </c>
      <c r="H42" s="3" t="s">
        <v>40</v>
      </c>
    </row>
    <row r="43" spans="3:8" ht="14.65" thickBot="1">
      <c r="C43" s="78" t="s">
        <v>24</v>
      </c>
      <c r="D43" s="1">
        <v>111.193</v>
      </c>
      <c r="E43" s="18">
        <f>D46</f>
        <v>171.876</v>
      </c>
      <c r="F43" s="17">
        <f>E46</f>
        <v>171.876</v>
      </c>
      <c r="G43" s="17">
        <f t="shared" ref="G43:H43" si="3">F46</f>
        <v>171.876</v>
      </c>
      <c r="H43" s="17">
        <f t="shared" si="3"/>
        <v>171.876</v>
      </c>
    </row>
    <row r="44" spans="3:8">
      <c r="C44" s="40" t="s">
        <v>611</v>
      </c>
      <c r="D44" s="41">
        <v>60.683</v>
      </c>
      <c r="E44" s="11">
        <v>0</v>
      </c>
      <c r="F44" s="41">
        <v>0</v>
      </c>
      <c r="G44" s="41">
        <v>0</v>
      </c>
      <c r="H44" s="75">
        <v>0</v>
      </c>
    </row>
    <row r="45" spans="3:8" ht="14.65" thickBot="1">
      <c r="C45" s="39" t="s">
        <v>612</v>
      </c>
      <c r="D45" s="76"/>
      <c r="E45" s="10"/>
      <c r="F45" s="76"/>
      <c r="G45" s="76"/>
      <c r="H45" s="77"/>
    </row>
    <row r="46" spans="3:8" ht="14.65" thickBot="1">
      <c r="C46" s="12" t="s">
        <v>605</v>
      </c>
      <c r="D46" s="17">
        <f>SUM(D43:D45)</f>
        <v>171.876</v>
      </c>
      <c r="E46" s="18">
        <f>SUM(E43:E45)</f>
        <v>171.876</v>
      </c>
      <c r="F46" s="17">
        <f>SUM(F43:F45)</f>
        <v>171.876</v>
      </c>
      <c r="G46" s="17">
        <f>SUM(G43:G45)</f>
        <v>171.876</v>
      </c>
      <c r="H46" s="17">
        <f>SUM(H43:H45)</f>
        <v>171.876</v>
      </c>
    </row>
    <row r="53" spans="3:9" ht="14.65" thickBot="1"/>
    <row r="54" spans="3:9">
      <c r="C54" s="495" t="s">
        <v>312</v>
      </c>
      <c r="D54" s="491" t="s">
        <v>138</v>
      </c>
      <c r="E54" s="491" t="s">
        <v>243</v>
      </c>
      <c r="F54" s="489" t="s">
        <v>231</v>
      </c>
      <c r="G54" s="491" t="s">
        <v>140</v>
      </c>
      <c r="H54" s="491" t="s">
        <v>140</v>
      </c>
      <c r="I54" s="493" t="s">
        <v>140</v>
      </c>
    </row>
    <row r="55" spans="3:9">
      <c r="C55" s="496"/>
      <c r="D55" s="492"/>
      <c r="E55" s="492"/>
      <c r="F55" s="490"/>
      <c r="G55" s="492"/>
      <c r="H55" s="492"/>
      <c r="I55" s="494"/>
    </row>
    <row r="56" spans="3:9">
      <c r="C56" s="496"/>
      <c r="D56" s="24" t="s">
        <v>2</v>
      </c>
      <c r="E56" s="24" t="s">
        <v>2</v>
      </c>
      <c r="F56" s="25" t="s">
        <v>3</v>
      </c>
      <c r="G56" s="24" t="s">
        <v>4</v>
      </c>
      <c r="H56" s="24" t="s">
        <v>127</v>
      </c>
      <c r="I56" s="24" t="s">
        <v>128</v>
      </c>
    </row>
    <row r="57" spans="3:9" ht="14.65" thickBot="1">
      <c r="C57" s="497"/>
      <c r="D57" s="15" t="s">
        <v>40</v>
      </c>
      <c r="E57" s="15" t="s">
        <v>40</v>
      </c>
      <c r="F57" s="20" t="s">
        <v>40</v>
      </c>
      <c r="G57" s="15" t="s">
        <v>40</v>
      </c>
      <c r="H57" s="15" t="s">
        <v>40</v>
      </c>
      <c r="I57" s="26" t="s">
        <v>40</v>
      </c>
    </row>
    <row r="58" spans="3:9">
      <c r="C58" s="46" t="s">
        <v>314</v>
      </c>
      <c r="D58" s="42">
        <v>0.749</v>
      </c>
      <c r="E58" s="42">
        <v>0.749</v>
      </c>
      <c r="F58" s="16">
        <v>0.89317899999999995</v>
      </c>
      <c r="G58" s="42">
        <v>0.9</v>
      </c>
      <c r="H58" s="42">
        <v>0.9</v>
      </c>
      <c r="I58" s="43">
        <v>0.9</v>
      </c>
    </row>
    <row r="59" spans="3:9">
      <c r="C59" s="46" t="s">
        <v>315</v>
      </c>
      <c r="D59" s="42">
        <v>3.5</v>
      </c>
      <c r="E59" s="42">
        <v>3.5</v>
      </c>
      <c r="F59" s="16">
        <v>5</v>
      </c>
      <c r="G59" s="42">
        <v>5</v>
      </c>
      <c r="H59" s="42">
        <v>5</v>
      </c>
      <c r="I59" s="42">
        <v>5</v>
      </c>
    </row>
    <row r="60" spans="3:9" ht="25.5">
      <c r="C60" s="47" t="s">
        <v>613</v>
      </c>
      <c r="D60" s="42">
        <v>0</v>
      </c>
      <c r="E60" s="42">
        <v>0</v>
      </c>
      <c r="F60" s="16">
        <v>12.2</v>
      </c>
      <c r="G60" s="42">
        <v>12.2</v>
      </c>
      <c r="H60" s="42">
        <v>12.2</v>
      </c>
      <c r="I60" s="42">
        <v>12.2</v>
      </c>
    </row>
    <row r="61" spans="3:9">
      <c r="C61" s="47" t="s">
        <v>321</v>
      </c>
      <c r="D61" s="42">
        <v>17.5</v>
      </c>
      <c r="E61" s="42">
        <v>17.5</v>
      </c>
      <c r="F61" s="16">
        <v>4.0999999999999996</v>
      </c>
      <c r="G61" s="42">
        <v>4.9000000000000004</v>
      </c>
      <c r="H61" s="42">
        <v>1</v>
      </c>
      <c r="I61" s="42">
        <v>0</v>
      </c>
    </row>
    <row r="62" spans="3:9" ht="14.65" thickBot="1">
      <c r="C62" s="83" t="s">
        <v>614</v>
      </c>
      <c r="D62" s="44">
        <v>1.4</v>
      </c>
      <c r="E62" s="44">
        <v>1.4</v>
      </c>
      <c r="F62" s="27">
        <v>0</v>
      </c>
      <c r="G62" s="44">
        <v>0</v>
      </c>
      <c r="H62" s="44">
        <v>0</v>
      </c>
      <c r="I62" s="44">
        <v>0</v>
      </c>
    </row>
    <row r="63" spans="3:9" ht="14.65" thickBot="1">
      <c r="C63" s="79" t="s">
        <v>327</v>
      </c>
      <c r="D63" s="33">
        <f t="shared" ref="D63:I63" si="4">SUM(D58:D62)</f>
        <v>23.148999999999997</v>
      </c>
      <c r="E63" s="33">
        <f t="shared" si="4"/>
        <v>23.148999999999997</v>
      </c>
      <c r="F63" s="20">
        <f t="shared" si="4"/>
        <v>22.193179000000001</v>
      </c>
      <c r="G63" s="34">
        <f t="shared" si="4"/>
        <v>23</v>
      </c>
      <c r="H63" s="34">
        <f t="shared" si="4"/>
        <v>19.100000000000001</v>
      </c>
      <c r="I63" s="45">
        <f t="shared" si="4"/>
        <v>18.100000000000001</v>
      </c>
    </row>
    <row r="64" spans="3:9">
      <c r="C64" s="47" t="s">
        <v>328</v>
      </c>
      <c r="D64" s="42">
        <f>-D62</f>
        <v>-1.4</v>
      </c>
      <c r="E64" s="42">
        <f>-E62</f>
        <v>-1.4</v>
      </c>
      <c r="F64" s="16">
        <f>-SUM(F61:F62)</f>
        <v>-4.0999999999999996</v>
      </c>
      <c r="G64" s="42">
        <f>-SUM(G61:G62)</f>
        <v>-4.9000000000000004</v>
      </c>
      <c r="H64" s="42">
        <f>-SUM(H61:H62)</f>
        <v>-1</v>
      </c>
      <c r="I64" s="42">
        <f>-SUM(I61:I62)</f>
        <v>0</v>
      </c>
    </row>
    <row r="65" spans="3:9" ht="14.65" thickBot="1">
      <c r="C65" s="47" t="s">
        <v>331</v>
      </c>
      <c r="D65" s="42">
        <v>-18.2</v>
      </c>
      <c r="E65" s="42">
        <v>-18.2</v>
      </c>
      <c r="F65" s="27">
        <v>18.2</v>
      </c>
      <c r="G65" s="44">
        <v>0</v>
      </c>
      <c r="H65" s="44">
        <v>0</v>
      </c>
      <c r="I65" s="44">
        <v>0</v>
      </c>
    </row>
    <row r="66" spans="3:9" ht="14.65" thickBot="1">
      <c r="C66" s="79" t="s">
        <v>310</v>
      </c>
      <c r="D66" s="33">
        <f>SUM(D63:D65)</f>
        <v>3.5489999999999995</v>
      </c>
      <c r="E66" s="33">
        <f>SUM(E63:E65)</f>
        <v>3.5489999999999995</v>
      </c>
      <c r="F66" s="20">
        <f t="shared" ref="F66:I66" si="5">SUM(F63:F65)</f>
        <v>36.293178999999995</v>
      </c>
      <c r="G66" s="34">
        <f t="shared" si="5"/>
        <v>18.100000000000001</v>
      </c>
      <c r="H66" s="34">
        <f t="shared" si="5"/>
        <v>18.100000000000001</v>
      </c>
      <c r="I66" s="45">
        <f t="shared" si="5"/>
        <v>18.100000000000001</v>
      </c>
    </row>
    <row r="67" spans="3:9">
      <c r="C67" s="47" t="s">
        <v>238</v>
      </c>
      <c r="D67" s="42">
        <f>D59</f>
        <v>3.5</v>
      </c>
      <c r="E67" s="42">
        <f>E59</f>
        <v>3.5</v>
      </c>
      <c r="F67" s="16">
        <f>F59+F58+F65</f>
        <v>24.093178999999999</v>
      </c>
      <c r="G67" s="42">
        <f t="shared" ref="G67:I67" si="6">G59+G58</f>
        <v>5.9</v>
      </c>
      <c r="H67" s="42">
        <f t="shared" si="6"/>
        <v>5.9</v>
      </c>
      <c r="I67" s="42">
        <f t="shared" si="6"/>
        <v>5.9</v>
      </c>
    </row>
    <row r="68" spans="3:9" ht="14.65" thickBot="1">
      <c r="C68" s="46" t="s">
        <v>261</v>
      </c>
      <c r="D68" s="42">
        <v>0</v>
      </c>
      <c r="E68" s="42">
        <v>0</v>
      </c>
      <c r="F68" s="27">
        <v>12.2</v>
      </c>
      <c r="G68" s="44">
        <v>12.2</v>
      </c>
      <c r="H68" s="44">
        <v>12.2</v>
      </c>
      <c r="I68" s="44">
        <v>12.2</v>
      </c>
    </row>
    <row r="69" spans="3:9" ht="14.65" thickBot="1">
      <c r="C69" s="79" t="s">
        <v>262</v>
      </c>
      <c r="D69" s="33">
        <f t="shared" ref="D69:E69" si="7">D66-SUM(D67:D68)</f>
        <v>4.8999999999999488E-2</v>
      </c>
      <c r="E69" s="33">
        <f t="shared" si="7"/>
        <v>4.8999999999999488E-2</v>
      </c>
      <c r="F69" s="20">
        <f>F66-SUM(F67:F68)</f>
        <v>0</v>
      </c>
      <c r="G69" s="34">
        <f t="shared" ref="G69:I69" si="8">G66-SUM(G67:G68)</f>
        <v>0</v>
      </c>
      <c r="H69" s="34">
        <f t="shared" si="8"/>
        <v>0</v>
      </c>
      <c r="I69" s="45">
        <f t="shared" si="8"/>
        <v>0</v>
      </c>
    </row>
    <row r="70" spans="3:9">
      <c r="C70" s="49"/>
      <c r="D70" s="35"/>
      <c r="E70" s="35"/>
      <c r="F70" s="35"/>
      <c r="G70" s="35"/>
      <c r="H70" s="35"/>
      <c r="I70" s="74"/>
    </row>
    <row r="71" spans="3:9">
      <c r="C71" s="49"/>
      <c r="D71" s="35"/>
      <c r="E71" s="35"/>
      <c r="F71" s="35"/>
      <c r="G71" s="35"/>
      <c r="H71" s="35"/>
      <c r="I71" s="74"/>
    </row>
    <row r="72" spans="3:9">
      <c r="C72" s="49"/>
      <c r="D72" s="35"/>
      <c r="E72" s="35"/>
      <c r="F72" s="35"/>
      <c r="G72" s="35"/>
      <c r="H72" s="35"/>
      <c r="I72" s="74"/>
    </row>
    <row r="73" spans="3:9">
      <c r="C73" s="80" t="s">
        <v>75</v>
      </c>
      <c r="D73" s="42"/>
      <c r="E73" s="42"/>
      <c r="F73" s="42"/>
      <c r="G73" s="42"/>
      <c r="H73" s="42"/>
      <c r="I73" s="43"/>
    </row>
    <row r="74" spans="3:9" ht="14.65" thickBot="1">
      <c r="C74" s="46" t="s">
        <v>615</v>
      </c>
      <c r="D74" s="42">
        <v>-11.1</v>
      </c>
      <c r="E74" s="42">
        <v>-10.5</v>
      </c>
      <c r="F74" s="27">
        <v>-13</v>
      </c>
      <c r="G74" s="44">
        <v>-15.1</v>
      </c>
      <c r="H74" s="44">
        <v>-15.6</v>
      </c>
      <c r="I74" s="44">
        <v>-15.5</v>
      </c>
    </row>
    <row r="75" spans="3:9" ht="14.65" thickBot="1">
      <c r="C75" s="79" t="s">
        <v>616</v>
      </c>
      <c r="D75" s="33">
        <f>+D74</f>
        <v>-11.1</v>
      </c>
      <c r="E75" s="33">
        <f>+E74</f>
        <v>-10.5</v>
      </c>
      <c r="F75" s="20">
        <f>+F74</f>
        <v>-13</v>
      </c>
      <c r="G75" s="34">
        <f t="shared" ref="G75:I75" si="9">+G74</f>
        <v>-15.1</v>
      </c>
      <c r="H75" s="34">
        <f t="shared" si="9"/>
        <v>-15.6</v>
      </c>
      <c r="I75" s="45">
        <f t="shared" si="9"/>
        <v>-15.5</v>
      </c>
    </row>
    <row r="76" spans="3:9" ht="25.5">
      <c r="C76" s="46" t="s">
        <v>617</v>
      </c>
      <c r="D76" s="42">
        <v>0</v>
      </c>
      <c r="E76" s="42">
        <v>0</v>
      </c>
      <c r="F76" s="16">
        <v>-12.2</v>
      </c>
      <c r="G76" s="42">
        <v>-12.2</v>
      </c>
      <c r="H76" s="42">
        <v>-12.2</v>
      </c>
      <c r="I76" s="43">
        <v>-12.2</v>
      </c>
    </row>
    <row r="77" spans="3:9" ht="14.65" thickBot="1">
      <c r="C77" s="81" t="s">
        <v>618</v>
      </c>
      <c r="D77" s="50">
        <f>-SUM(D68:D68)</f>
        <v>0</v>
      </c>
      <c r="E77" s="50" t="e">
        <f>-SUM(#REF!)</f>
        <v>#REF!</v>
      </c>
      <c r="F77" s="30">
        <f>-SUM(F68:F68)-F79</f>
        <v>-29.7</v>
      </c>
      <c r="G77" s="50">
        <f>-SUM(G68:G68)</f>
        <v>-12.2</v>
      </c>
      <c r="H77" s="50">
        <f>-SUM(H68:H68)</f>
        <v>-12.2</v>
      </c>
      <c r="I77" s="51">
        <f>-SUM(I68:I68)</f>
        <v>-12.2</v>
      </c>
    </row>
    <row r="78" spans="3:9" ht="14.65" thickBot="1">
      <c r="C78" s="82" t="s">
        <v>619</v>
      </c>
      <c r="D78" s="33">
        <f t="shared" ref="D78:I78" si="10">SUM(D76:D77)+D75</f>
        <v>-11.1</v>
      </c>
      <c r="E78" s="33" t="e">
        <f t="shared" si="10"/>
        <v>#REF!</v>
      </c>
      <c r="F78" s="20">
        <f t="shared" si="10"/>
        <v>-54.9</v>
      </c>
      <c r="G78" s="34">
        <f t="shared" si="10"/>
        <v>-39.5</v>
      </c>
      <c r="H78" s="34">
        <f t="shared" si="10"/>
        <v>-40</v>
      </c>
      <c r="I78" s="45">
        <f t="shared" si="10"/>
        <v>-39.9</v>
      </c>
    </row>
    <row r="79" spans="3:9" ht="14.65" thickBot="1">
      <c r="C79" s="46" t="s">
        <v>620</v>
      </c>
      <c r="D79" s="42">
        <f>-D60</f>
        <v>0</v>
      </c>
      <c r="E79" s="42">
        <f>-E60-E68</f>
        <v>0</v>
      </c>
      <c r="F79" s="32">
        <v>17.5</v>
      </c>
      <c r="G79" s="42">
        <v>0</v>
      </c>
      <c r="H79" s="42">
        <v>0</v>
      </c>
      <c r="I79" s="42">
        <v>0</v>
      </c>
    </row>
    <row r="80" spans="3:9" ht="14.65" thickBot="1">
      <c r="C80" s="81" t="s">
        <v>621</v>
      </c>
      <c r="D80" s="42" t="e">
        <f>-SUM(D59+#REF!)</f>
        <v>#REF!</v>
      </c>
      <c r="E80" s="42" t="e">
        <f>-SUM(E59+#REF!)</f>
        <v>#REF!</v>
      </c>
      <c r="F80" s="30" t="e">
        <f>-SUM(F59+#REF!)</f>
        <v>#REF!</v>
      </c>
      <c r="G80" s="50" t="e">
        <f>-SUM(G59+#REF!)</f>
        <v>#REF!</v>
      </c>
      <c r="H80" s="50" t="e">
        <f>-SUM(H59+#REF!)</f>
        <v>#REF!</v>
      </c>
      <c r="I80" s="51" t="e">
        <f>-SUM(I59+#REF!)</f>
        <v>#REF!</v>
      </c>
    </row>
    <row r="81" spans="3:9" ht="14.65" thickBot="1">
      <c r="C81" s="31" t="s">
        <v>622</v>
      </c>
      <c r="D81" s="14" t="e">
        <f>D69+D78+D79+D80</f>
        <v>#REF!</v>
      </c>
      <c r="E81" s="14" t="e">
        <f>E69+E78+E79+E80</f>
        <v>#REF!</v>
      </c>
      <c r="F81" s="20" t="e">
        <f>F69++F78+F79+F80</f>
        <v>#REF!</v>
      </c>
      <c r="G81" s="15" t="e">
        <f>G69++G78+G79+G80</f>
        <v>#REF!</v>
      </c>
      <c r="H81" s="15" t="e">
        <f>H69++H78+H79+H80</f>
        <v>#REF!</v>
      </c>
      <c r="I81" s="26" t="e">
        <f>I69++I78+I79+I80</f>
        <v>#REF!</v>
      </c>
    </row>
  </sheetData>
  <mergeCells count="10">
    <mergeCell ref="F54:F55"/>
    <mergeCell ref="G54:G55"/>
    <mergeCell ref="H54:H55"/>
    <mergeCell ref="I54:I55"/>
    <mergeCell ref="C18:C19"/>
    <mergeCell ref="C32:C33"/>
    <mergeCell ref="C41:C42"/>
    <mergeCell ref="C54:C57"/>
    <mergeCell ref="D54:D55"/>
    <mergeCell ref="E54:E5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FFFF00"/>
  </sheetPr>
  <dimension ref="C1:G34"/>
  <sheetViews>
    <sheetView workbookViewId="0">
      <selection activeCell="H22" sqref="H22"/>
    </sheetView>
  </sheetViews>
  <sheetFormatPr defaultColWidth="9.1328125" defaultRowHeight="14.25"/>
  <cols>
    <col min="1" max="2" width="9.1328125" style="36"/>
    <col min="3" max="3" width="38.265625" style="36" customWidth="1"/>
    <col min="4" max="4" width="12" style="36" customWidth="1"/>
    <col min="5" max="5" width="17.73046875" style="36" customWidth="1"/>
    <col min="6" max="6" width="12.265625" style="36" customWidth="1"/>
    <col min="7" max="16384" width="9.1328125" style="36"/>
  </cols>
  <sheetData>
    <row r="1" spans="3:6">
      <c r="D1" s="66" t="s">
        <v>1</v>
      </c>
      <c r="E1" s="498" t="s">
        <v>2</v>
      </c>
      <c r="F1" s="498"/>
    </row>
    <row r="2" spans="3:6">
      <c r="C2" s="59"/>
      <c r="D2" s="65" t="s">
        <v>623</v>
      </c>
      <c r="E2" s="65" t="s">
        <v>624</v>
      </c>
      <c r="F2" s="65" t="s">
        <v>625</v>
      </c>
    </row>
    <row r="3" spans="3:6">
      <c r="C3" s="62" t="s">
        <v>626</v>
      </c>
      <c r="D3" s="60"/>
      <c r="E3" s="60"/>
      <c r="F3" s="60"/>
    </row>
    <row r="4" spans="3:6">
      <c r="C4" s="36" t="s">
        <v>623</v>
      </c>
      <c r="D4" s="61">
        <v>25.1</v>
      </c>
      <c r="E4" s="61"/>
      <c r="F4" s="61"/>
    </row>
    <row r="5" spans="3:6">
      <c r="C5" s="36" t="s">
        <v>627</v>
      </c>
      <c r="D5" s="61"/>
      <c r="E5" s="61">
        <v>12.2</v>
      </c>
      <c r="F5" s="61"/>
    </row>
    <row r="6" spans="3:6">
      <c r="C6" s="36" t="s">
        <v>628</v>
      </c>
      <c r="D6" s="61"/>
      <c r="E6" s="61"/>
      <c r="F6" s="61">
        <v>2.2999999999999998</v>
      </c>
    </row>
    <row r="7" spans="3:6">
      <c r="C7" s="54" t="s">
        <v>0</v>
      </c>
      <c r="D7" s="58">
        <f>SUM(D3:D6)</f>
        <v>25.1</v>
      </c>
      <c r="E7" s="58">
        <f t="shared" ref="E7:F7" si="0">SUM(E3:E6)</f>
        <v>12.2</v>
      </c>
      <c r="F7" s="58">
        <f t="shared" si="0"/>
        <v>2.2999999999999998</v>
      </c>
    </row>
    <row r="8" spans="3:6">
      <c r="C8" s="63" t="s">
        <v>359</v>
      </c>
      <c r="D8" s="61"/>
      <c r="E8" s="61"/>
      <c r="F8" s="61"/>
    </row>
    <row r="9" spans="3:6">
      <c r="C9" s="64" t="s">
        <v>36</v>
      </c>
      <c r="D9" s="61"/>
      <c r="E9" s="61"/>
      <c r="F9" s="61"/>
    </row>
    <row r="10" spans="3:6">
      <c r="C10" s="36" t="s">
        <v>629</v>
      </c>
      <c r="D10" s="61">
        <v>-23</v>
      </c>
      <c r="E10" s="61"/>
      <c r="F10" s="61"/>
    </row>
    <row r="11" spans="3:6">
      <c r="C11" s="36" t="s">
        <v>630</v>
      </c>
      <c r="D11" s="61"/>
      <c r="E11" s="61">
        <v>-0.6</v>
      </c>
      <c r="F11" s="61"/>
    </row>
    <row r="12" spans="3:6">
      <c r="C12" s="36" t="s">
        <v>631</v>
      </c>
      <c r="D12" s="61"/>
      <c r="E12" s="61">
        <v>-2.4</v>
      </c>
      <c r="F12" s="61"/>
    </row>
    <row r="13" spans="3:6">
      <c r="C13" s="36" t="s">
        <v>632</v>
      </c>
      <c r="D13" s="61">
        <v>-2.1</v>
      </c>
      <c r="E13" s="61">
        <f>-(E7+E11+E12+E15)</f>
        <v>-1.1999999999999993</v>
      </c>
      <c r="F13" s="61"/>
    </row>
    <row r="14" spans="3:6">
      <c r="C14" s="64" t="s">
        <v>37</v>
      </c>
      <c r="D14" s="61"/>
      <c r="E14" s="61"/>
      <c r="F14" s="61"/>
    </row>
    <row r="15" spans="3:6">
      <c r="C15" s="36" t="s">
        <v>633</v>
      </c>
      <c r="D15" s="61"/>
      <c r="E15" s="61">
        <v>-8</v>
      </c>
      <c r="F15" s="61"/>
    </row>
    <row r="16" spans="3:6">
      <c r="C16" s="36" t="s">
        <v>634</v>
      </c>
      <c r="D16" s="61"/>
      <c r="E16" s="61"/>
      <c r="F16" s="61">
        <v>-2.2999999999999998</v>
      </c>
    </row>
    <row r="17" spans="3:7">
      <c r="C17" s="54" t="s">
        <v>0</v>
      </c>
      <c r="D17" s="58">
        <f>SUM(D7:D16)</f>
        <v>0</v>
      </c>
      <c r="E17" s="58">
        <f t="shared" ref="E17:F17" si="1">SUM(E7:E16)</f>
        <v>0</v>
      </c>
      <c r="F17" s="58">
        <f t="shared" si="1"/>
        <v>0</v>
      </c>
    </row>
    <row r="24" spans="3:7" ht="14.65" thickBot="1"/>
    <row r="25" spans="3:7">
      <c r="C25" s="483" t="s">
        <v>599</v>
      </c>
      <c r="D25" s="23" t="s">
        <v>3</v>
      </c>
      <c r="E25" s="22" t="s">
        <v>4</v>
      </c>
      <c r="F25" s="22" t="s">
        <v>127</v>
      </c>
      <c r="G25" s="73" t="s">
        <v>128</v>
      </c>
    </row>
    <row r="26" spans="3:7" ht="14.65" thickBot="1">
      <c r="C26" s="484"/>
      <c r="D26" s="2" t="s">
        <v>40</v>
      </c>
      <c r="E26" s="1" t="s">
        <v>40</v>
      </c>
      <c r="F26" s="1" t="s">
        <v>40</v>
      </c>
      <c r="G26" s="3" t="s">
        <v>40</v>
      </c>
    </row>
    <row r="27" spans="3:7">
      <c r="C27" s="40" t="s">
        <v>24</v>
      </c>
      <c r="D27" s="11"/>
      <c r="E27" s="41"/>
      <c r="F27" s="41"/>
      <c r="G27" s="75"/>
    </row>
    <row r="28" spans="3:7">
      <c r="C28" s="40" t="s">
        <v>396</v>
      </c>
      <c r="D28" s="11"/>
      <c r="E28" s="41"/>
      <c r="F28" s="41"/>
      <c r="G28" s="75"/>
    </row>
    <row r="29" spans="3:7">
      <c r="C29" s="40" t="s">
        <v>37</v>
      </c>
      <c r="D29" s="11"/>
      <c r="E29" s="41"/>
      <c r="F29" s="41"/>
      <c r="G29" s="75"/>
    </row>
    <row r="30" spans="3:7">
      <c r="C30" s="40" t="s">
        <v>234</v>
      </c>
      <c r="D30" s="11"/>
      <c r="E30" s="41"/>
      <c r="F30" s="41"/>
      <c r="G30" s="75"/>
    </row>
    <row r="31" spans="3:7">
      <c r="C31" s="40" t="s">
        <v>39</v>
      </c>
      <c r="D31" s="11"/>
      <c r="E31" s="41"/>
      <c r="F31" s="41"/>
      <c r="G31" s="75"/>
    </row>
    <row r="32" spans="3:7">
      <c r="C32" s="40" t="s">
        <v>114</v>
      </c>
      <c r="D32" s="11"/>
      <c r="E32" s="41"/>
      <c r="F32" s="41"/>
      <c r="G32" s="75"/>
    </row>
    <row r="33" spans="3:7" ht="14.65" thickBot="1">
      <c r="C33" s="39" t="s">
        <v>235</v>
      </c>
      <c r="D33" s="10"/>
      <c r="E33" s="76"/>
      <c r="F33" s="76"/>
      <c r="G33" s="77"/>
    </row>
    <row r="34" spans="3:7" ht="14.65" thickBot="1">
      <c r="C34" s="12" t="s">
        <v>0</v>
      </c>
      <c r="D34" s="18">
        <v>0</v>
      </c>
      <c r="E34" s="17">
        <f>SUM(E27:E33)</f>
        <v>0</v>
      </c>
      <c r="F34" s="17">
        <f t="shared" ref="F34:G34" si="2">SUM(F27:F33)</f>
        <v>0</v>
      </c>
      <c r="G34" s="17">
        <f t="shared" si="2"/>
        <v>0</v>
      </c>
    </row>
  </sheetData>
  <mergeCells count="2">
    <mergeCell ref="E1:F1"/>
    <mergeCell ref="C25:C2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8C6F6-C1B8-41D2-B0BD-3BD7CABA365B}">
  <sheetPr codeName="Sheet3"/>
  <dimension ref="A1:BL60"/>
  <sheetViews>
    <sheetView zoomScale="85" zoomScaleNormal="85" workbookViewId="0">
      <selection activeCell="W1" sqref="W1"/>
    </sheetView>
  </sheetViews>
  <sheetFormatPr defaultRowHeight="14.25"/>
  <cols>
    <col min="1" max="1" width="37.1328125" customWidth="1"/>
    <col min="2" max="2" width="16.265625" customWidth="1"/>
    <col min="3" max="3" width="8.73046875" customWidth="1"/>
    <col min="4" max="4" width="7" customWidth="1"/>
    <col min="5" max="5" width="9" customWidth="1"/>
    <col min="6" max="6" width="6" customWidth="1"/>
    <col min="7" max="7" width="9" customWidth="1"/>
    <col min="8" max="8" width="12" customWidth="1"/>
    <col min="14" max="14" width="44.265625" customWidth="1"/>
    <col min="15" max="15" width="24.3984375" customWidth="1"/>
    <col min="26" max="26" width="27" customWidth="1"/>
    <col min="27" max="27" width="6.1328125" style="109" customWidth="1"/>
    <col min="28" max="28" width="8.86328125" customWidth="1"/>
    <col min="29" max="29" width="7.73046875" customWidth="1"/>
    <col min="30" max="30" width="5.3984375" customWidth="1"/>
    <col min="31" max="31" width="6.86328125" customWidth="1"/>
    <col min="32" max="32" width="5.265625" customWidth="1"/>
    <col min="33" max="33" width="5.73046875" customWidth="1"/>
    <col min="34" max="34" width="5.86328125" customWidth="1"/>
    <col min="35" max="35" width="6.86328125" customWidth="1"/>
    <col min="36" max="37" width="16" customWidth="1"/>
    <col min="39" max="39" width="47.59765625" customWidth="1"/>
    <col min="40" max="40" width="24" customWidth="1"/>
    <col min="48" max="48" width="34.265625" customWidth="1"/>
    <col min="49" max="49" width="10.1328125" customWidth="1"/>
    <col min="58" max="58" width="68.73046875" customWidth="1"/>
    <col min="59" max="59" width="10.1328125" customWidth="1"/>
  </cols>
  <sheetData>
    <row r="1" spans="1:59" ht="14.65" thickBot="1">
      <c r="A1" t="s">
        <v>29</v>
      </c>
      <c r="N1" s="90" t="s">
        <v>30</v>
      </c>
      <c r="Z1" t="s">
        <v>31</v>
      </c>
      <c r="AM1" t="s">
        <v>32</v>
      </c>
      <c r="AV1" t="s">
        <v>33</v>
      </c>
      <c r="BF1" s="90" t="s">
        <v>34</v>
      </c>
    </row>
    <row r="2" spans="1:59" ht="15" thickTop="1" thickBot="1">
      <c r="Z2" s="91" t="s">
        <v>35</v>
      </c>
      <c r="AA2" s="110" t="s">
        <v>36</v>
      </c>
      <c r="AB2" s="92" t="s">
        <v>37</v>
      </c>
      <c r="AC2" s="92" t="s">
        <v>38</v>
      </c>
      <c r="AD2" s="92" t="s">
        <v>39</v>
      </c>
      <c r="AE2" s="92" t="s">
        <v>0</v>
      </c>
      <c r="BF2" s="91"/>
      <c r="BG2" s="92" t="s">
        <v>40</v>
      </c>
    </row>
    <row r="3" spans="1:59" ht="15" thickTop="1" thickBot="1">
      <c r="Z3" s="93" t="s">
        <v>41</v>
      </c>
      <c r="AA3" s="111">
        <v>63</v>
      </c>
      <c r="AB3" s="94">
        <v>567</v>
      </c>
      <c r="AC3" s="94">
        <v>138</v>
      </c>
      <c r="AD3" s="94">
        <v>6</v>
      </c>
      <c r="AE3" s="94">
        <v>774</v>
      </c>
      <c r="BF3" s="93" t="s">
        <v>42</v>
      </c>
      <c r="BG3" s="94">
        <v>485</v>
      </c>
    </row>
    <row r="4" spans="1:59" ht="15" thickTop="1" thickBot="1">
      <c r="Z4" s="93" t="s">
        <v>43</v>
      </c>
      <c r="AA4" s="111">
        <v>13</v>
      </c>
      <c r="AB4" s="94">
        <v>27</v>
      </c>
      <c r="AC4" s="94">
        <v>128</v>
      </c>
      <c r="AD4" s="94">
        <v>0</v>
      </c>
      <c r="AE4" s="94">
        <v>168</v>
      </c>
      <c r="BF4" s="93" t="s">
        <v>44</v>
      </c>
      <c r="BG4" s="94">
        <v>193</v>
      </c>
    </row>
    <row r="5" spans="1:59" ht="15" thickTop="1" thickBot="1">
      <c r="Z5" s="95" t="s">
        <v>45</v>
      </c>
      <c r="AA5" s="112">
        <v>73</v>
      </c>
      <c r="AB5" s="96">
        <v>0</v>
      </c>
      <c r="AC5" s="96">
        <v>116</v>
      </c>
      <c r="AD5" s="96">
        <v>854</v>
      </c>
      <c r="AE5" s="97">
        <v>1043</v>
      </c>
      <c r="BF5" s="93" t="s">
        <v>46</v>
      </c>
      <c r="BG5" s="94">
        <v>115</v>
      </c>
    </row>
    <row r="6" spans="1:59" ht="15" thickTop="1" thickBot="1">
      <c r="Z6" s="98" t="s">
        <v>47</v>
      </c>
      <c r="AA6" s="113">
        <v>149</v>
      </c>
      <c r="AB6" s="99">
        <v>594</v>
      </c>
      <c r="AC6" s="99">
        <v>382</v>
      </c>
      <c r="AD6" s="99">
        <v>860</v>
      </c>
      <c r="AE6" s="100">
        <v>1985</v>
      </c>
      <c r="BF6" s="93" t="s">
        <v>48</v>
      </c>
      <c r="BG6" s="94">
        <v>87</v>
      </c>
    </row>
    <row r="7" spans="1:59" ht="15" thickTop="1" thickBot="1">
      <c r="BF7" s="93" t="s">
        <v>49</v>
      </c>
      <c r="BG7" s="94">
        <v>79</v>
      </c>
    </row>
    <row r="8" spans="1:59" ht="15" thickTop="1" thickBot="1">
      <c r="BF8" s="93" t="s">
        <v>50</v>
      </c>
      <c r="BG8" s="94">
        <v>75</v>
      </c>
    </row>
    <row r="9" spans="1:59" ht="15" thickTop="1" thickBot="1">
      <c r="BF9" s="93" t="s">
        <v>51</v>
      </c>
      <c r="BG9" s="94">
        <v>65</v>
      </c>
    </row>
    <row r="10" spans="1:59" ht="15" thickTop="1" thickBot="1">
      <c r="BF10" s="93" t="s">
        <v>52</v>
      </c>
      <c r="BG10" s="94">
        <v>64</v>
      </c>
    </row>
    <row r="11" spans="1:59" ht="15" thickTop="1" thickBot="1">
      <c r="BF11" s="93" t="s">
        <v>53</v>
      </c>
      <c r="BG11" s="94">
        <v>28</v>
      </c>
    </row>
    <row r="12" spans="1:59" ht="15" thickTop="1" thickBot="1">
      <c r="BF12" s="101" t="s">
        <v>54</v>
      </c>
      <c r="BG12" s="94">
        <v>20</v>
      </c>
    </row>
    <row r="13" spans="1:59" ht="15" thickTop="1" thickBot="1">
      <c r="BF13" s="93" t="s">
        <v>55</v>
      </c>
      <c r="BG13" s="94">
        <v>11</v>
      </c>
    </row>
    <row r="14" spans="1:59" ht="15" thickTop="1" thickBot="1">
      <c r="BF14" s="93" t="s">
        <v>56</v>
      </c>
      <c r="BG14" s="94">
        <v>8</v>
      </c>
    </row>
    <row r="15" spans="1:59" ht="15" thickTop="1" thickBot="1">
      <c r="BF15" s="95" t="s">
        <v>57</v>
      </c>
      <c r="BG15" s="96">
        <v>5</v>
      </c>
    </row>
    <row r="16" spans="1:59" ht="15" thickTop="1" thickBot="1">
      <c r="BF16" s="98"/>
      <c r="BG16" s="100"/>
    </row>
    <row r="17" spans="1:64" ht="14.65" thickTop="1">
      <c r="A17" s="89" t="s">
        <v>58</v>
      </c>
      <c r="B17" s="89" t="s">
        <v>59</v>
      </c>
      <c r="BF17" s="104"/>
      <c r="BG17" s="105"/>
    </row>
    <row r="18" spans="1:64">
      <c r="A18" t="s">
        <v>60</v>
      </c>
      <c r="B18" s="120" t="e">
        <f>#REF!</f>
        <v>#REF!</v>
      </c>
      <c r="C18" s="119"/>
      <c r="BB18" s="117"/>
      <c r="BC18" s="117"/>
      <c r="BD18" s="117"/>
      <c r="BE18" s="117"/>
      <c r="BF18" s="117"/>
      <c r="BG18" s="117"/>
      <c r="BH18" s="117"/>
      <c r="BI18" s="117"/>
      <c r="BJ18" s="117"/>
      <c r="BK18" s="117"/>
      <c r="BL18" s="117"/>
    </row>
    <row r="19" spans="1:64">
      <c r="A19" t="s">
        <v>61</v>
      </c>
      <c r="B19" s="120" t="e">
        <f>#REF!</f>
        <v>#REF!</v>
      </c>
      <c r="C19" s="119"/>
      <c r="BB19" s="117"/>
      <c r="BC19" s="117"/>
      <c r="BD19" s="117"/>
      <c r="BE19" s="117"/>
      <c r="BF19" s="117"/>
      <c r="BG19" s="117"/>
      <c r="BH19" s="117"/>
      <c r="BI19" s="117"/>
      <c r="BJ19" s="117"/>
      <c r="BK19" s="117"/>
      <c r="BL19" s="117"/>
    </row>
    <row r="20" spans="1:64">
      <c r="A20" t="s">
        <v>62</v>
      </c>
      <c r="B20" s="120" t="e">
        <f>#REF!</f>
        <v>#REF!</v>
      </c>
      <c r="C20" s="119"/>
      <c r="BB20" s="117"/>
      <c r="BC20" s="117"/>
      <c r="BD20" s="117"/>
      <c r="BE20" s="117"/>
      <c r="BF20" s="117"/>
      <c r="BG20" s="117"/>
      <c r="BH20" s="117"/>
      <c r="BI20" s="117"/>
      <c r="BJ20" s="117"/>
      <c r="BK20" s="117"/>
      <c r="BL20" s="117"/>
    </row>
    <row r="21" spans="1:64">
      <c r="A21" t="s">
        <v>63</v>
      </c>
      <c r="B21" s="120" t="e">
        <f>#REF!</f>
        <v>#REF!</v>
      </c>
      <c r="C21" s="119"/>
      <c r="BB21" s="117"/>
      <c r="BC21" s="117"/>
      <c r="BD21" s="117"/>
      <c r="BE21" s="117"/>
      <c r="BF21" s="117"/>
      <c r="BG21" s="117"/>
      <c r="BH21" s="117"/>
      <c r="BI21" s="117"/>
      <c r="BJ21" s="117"/>
      <c r="BK21" s="117"/>
      <c r="BL21" s="117"/>
    </row>
    <row r="22" spans="1:64">
      <c r="A22" t="s">
        <v>64</v>
      </c>
      <c r="B22" s="120" t="e">
        <f>#REF!</f>
        <v>#REF!</v>
      </c>
      <c r="C22" s="119"/>
      <c r="BB22" s="117"/>
      <c r="BC22" s="117"/>
      <c r="BD22" s="117"/>
      <c r="BE22" s="117"/>
      <c r="BF22" s="117"/>
      <c r="BG22" s="117"/>
      <c r="BH22" s="117"/>
      <c r="BI22" s="117"/>
      <c r="BJ22" s="117"/>
      <c r="BK22" s="117"/>
      <c r="BL22" s="117"/>
    </row>
    <row r="23" spans="1:64">
      <c r="A23" t="s">
        <v>65</v>
      </c>
      <c r="B23" s="120" t="e">
        <f>#REF!</f>
        <v>#REF!</v>
      </c>
      <c r="C23" s="119"/>
      <c r="BB23" s="117"/>
      <c r="BC23" s="117"/>
      <c r="BD23" s="117"/>
      <c r="BE23" s="117"/>
      <c r="BF23" s="117"/>
      <c r="BG23" s="117"/>
      <c r="BH23" s="117"/>
      <c r="BI23" s="117"/>
      <c r="BJ23" s="117"/>
      <c r="BK23" s="117"/>
      <c r="BL23" s="117"/>
    </row>
    <row r="24" spans="1:64">
      <c r="A24" t="s">
        <v>66</v>
      </c>
      <c r="B24" s="120" t="e">
        <f>+#REF!</f>
        <v>#REF!</v>
      </c>
      <c r="BB24" s="117"/>
      <c r="BC24" s="117"/>
      <c r="BD24" s="117"/>
      <c r="BE24" s="117"/>
      <c r="BF24" s="117"/>
      <c r="BG24" s="117"/>
      <c r="BH24" s="117"/>
      <c r="BI24" s="117"/>
      <c r="BJ24" s="117"/>
      <c r="BK24" s="117"/>
      <c r="BL24" s="117"/>
    </row>
    <row r="25" spans="1:64">
      <c r="A25" s="89" t="s">
        <v>0</v>
      </c>
      <c r="B25" s="103" t="e">
        <f>SUM(B18:B24)</f>
        <v>#REF!</v>
      </c>
      <c r="BB25" s="117"/>
      <c r="BC25" s="117"/>
      <c r="BD25" s="117"/>
      <c r="BE25" s="117"/>
      <c r="BF25" s="117"/>
      <c r="BG25" s="117"/>
      <c r="BH25" s="117"/>
      <c r="BI25" s="117"/>
      <c r="BJ25" s="117"/>
      <c r="BK25" s="117"/>
      <c r="BL25" s="117"/>
    </row>
    <row r="26" spans="1:64" ht="14.65" thickBot="1">
      <c r="BB26" s="117"/>
      <c r="BC26" s="117"/>
      <c r="BD26" s="117"/>
      <c r="BE26" s="117"/>
      <c r="BF26" s="117"/>
      <c r="BG26" s="117"/>
      <c r="BH26" s="117"/>
      <c r="BI26" s="117"/>
      <c r="BJ26" s="117"/>
      <c r="BK26" s="117"/>
      <c r="BL26" s="117"/>
    </row>
    <row r="27" spans="1:64" ht="14.65" thickBot="1">
      <c r="AM27" s="89" t="s">
        <v>58</v>
      </c>
      <c r="AN27" s="108" t="s">
        <v>67</v>
      </c>
      <c r="AV27" s="89" t="s">
        <v>68</v>
      </c>
      <c r="AW27" s="108" t="s">
        <v>69</v>
      </c>
      <c r="BB27" s="117"/>
      <c r="BC27" s="117"/>
      <c r="BD27" s="117"/>
      <c r="BE27" s="117"/>
      <c r="BF27" s="124" t="s">
        <v>70</v>
      </c>
      <c r="BG27" s="22" t="s">
        <v>71</v>
      </c>
      <c r="BH27" s="117"/>
      <c r="BI27" s="117"/>
      <c r="BJ27" s="117"/>
      <c r="BK27" s="117"/>
      <c r="BL27" s="117"/>
    </row>
    <row r="28" spans="1:64" ht="14.65" thickBot="1">
      <c r="C28" s="121"/>
      <c r="Z28" s="22" t="e">
        <f>#REF!</f>
        <v>#REF!</v>
      </c>
      <c r="AA28" s="22" t="e">
        <f>#REF!</f>
        <v>#REF!</v>
      </c>
      <c r="AB28" s="22" t="e">
        <f>#REF!</f>
        <v>#REF!</v>
      </c>
      <c r="AC28" s="22" t="e">
        <f>#REF!</f>
        <v>#REF!</v>
      </c>
      <c r="AD28" s="22" t="e">
        <f>#REF!</f>
        <v>#REF!</v>
      </c>
      <c r="AE28" s="22" t="e">
        <f>#REF!</f>
        <v>#REF!</v>
      </c>
      <c r="AF28" s="37" t="e">
        <f>#REF!</f>
        <v>#REF!</v>
      </c>
      <c r="AG28" s="37" t="e">
        <f>#REF!</f>
        <v>#REF!</v>
      </c>
      <c r="AH28" s="37" t="e">
        <f>#REF!</f>
        <v>#REF!</v>
      </c>
      <c r="AI28" s="6" t="e">
        <f>#REF!</f>
        <v>#REF!</v>
      </c>
      <c r="AM28" t="s">
        <v>72</v>
      </c>
      <c r="AN28" s="87" t="e">
        <f>#REF!</f>
        <v>#REF!</v>
      </c>
      <c r="AV28" t="s">
        <v>73</v>
      </c>
      <c r="AW28" s="87" t="e">
        <f>SUM(#REF!)</f>
        <v>#REF!</v>
      </c>
      <c r="AX28" s="87"/>
      <c r="BB28" s="117"/>
      <c r="BC28" s="117"/>
      <c r="BD28" s="117"/>
      <c r="BE28" s="117"/>
      <c r="BF28" s="122" t="s">
        <v>74</v>
      </c>
      <c r="BG28" s="48"/>
      <c r="BH28" s="117"/>
      <c r="BI28" s="117"/>
      <c r="BJ28" s="117"/>
      <c r="BK28" s="117"/>
      <c r="BL28" s="117"/>
    </row>
    <row r="29" spans="1:64">
      <c r="C29" s="121"/>
      <c r="N29" s="89" t="s">
        <v>75</v>
      </c>
      <c r="O29" s="89" t="s">
        <v>76</v>
      </c>
      <c r="Z29" s="114" t="e">
        <f>#REF!</f>
        <v>#REF!</v>
      </c>
      <c r="AA29" s="48" t="e">
        <f>#REF!</f>
        <v>#REF!</v>
      </c>
      <c r="AB29" s="48" t="e">
        <f>#REF!</f>
        <v>#REF!</v>
      </c>
      <c r="AC29" s="48" t="e">
        <f>#REF!</f>
        <v>#REF!</v>
      </c>
      <c r="AD29" s="88" t="e">
        <f>#REF!</f>
        <v>#REF!</v>
      </c>
      <c r="AE29" s="88" t="e">
        <f>#REF!</f>
        <v>#REF!</v>
      </c>
      <c r="AF29" s="48" t="e">
        <f>#REF!</f>
        <v>#REF!</v>
      </c>
      <c r="AG29" s="48" t="e">
        <f>#REF!</f>
        <v>#REF!</v>
      </c>
      <c r="AH29" s="48" t="e">
        <f>#REF!</f>
        <v>#REF!</v>
      </c>
      <c r="AI29" s="28" t="e">
        <f>#REF!</f>
        <v>#REF!</v>
      </c>
      <c r="AM29" t="s">
        <v>77</v>
      </c>
      <c r="AN29" s="87" t="e">
        <f>#REF!</f>
        <v>#REF!</v>
      </c>
      <c r="AV29" t="s">
        <v>78</v>
      </c>
      <c r="AW29" s="87" t="e">
        <f>SUM(#REF!)</f>
        <v>#REF!</v>
      </c>
      <c r="AX29" s="87"/>
      <c r="BB29" s="117"/>
      <c r="BC29" s="117"/>
      <c r="BD29" s="117"/>
      <c r="BE29" s="117"/>
      <c r="BF29" s="115" t="s">
        <v>79</v>
      </c>
      <c r="BG29" s="42">
        <v>311</v>
      </c>
      <c r="BH29" s="117"/>
      <c r="BI29" s="117"/>
      <c r="BJ29" s="117"/>
      <c r="BK29" s="117"/>
      <c r="BL29" s="117"/>
    </row>
    <row r="30" spans="1:64">
      <c r="C30" s="121"/>
      <c r="N30" t="s">
        <v>80</v>
      </c>
      <c r="O30" s="102" t="e">
        <f>-#REF!</f>
        <v>#REF!</v>
      </c>
      <c r="Z30" s="115" t="e">
        <f>#REF!</f>
        <v>#REF!</v>
      </c>
      <c r="AA30" s="42" t="e">
        <f>#REF!</f>
        <v>#REF!</v>
      </c>
      <c r="AB30" s="42" t="e">
        <f>#REF!</f>
        <v>#REF!</v>
      </c>
      <c r="AC30" s="42" t="e">
        <f>#REF!</f>
        <v>#REF!</v>
      </c>
      <c r="AD30" s="43" t="e">
        <f>#REF!</f>
        <v>#REF!</v>
      </c>
      <c r="AE30" s="43" t="e">
        <f>#REF!</f>
        <v>#REF!</v>
      </c>
      <c r="AF30" s="42" t="e">
        <f>#REF!</f>
        <v>#REF!</v>
      </c>
      <c r="AG30" s="42" t="e">
        <f>#REF!</f>
        <v>#REF!</v>
      </c>
      <c r="AH30" s="42" t="e">
        <f>#REF!</f>
        <v>#REF!</v>
      </c>
      <c r="AI30" s="29" t="e">
        <f>#REF!</f>
        <v>#REF!</v>
      </c>
      <c r="AM30" t="s">
        <v>81</v>
      </c>
      <c r="AN30" s="87" t="e">
        <f>#REF!</f>
        <v>#REF!</v>
      </c>
      <c r="AV30" t="s">
        <v>82</v>
      </c>
      <c r="AW30" s="87" t="e">
        <f>SUM(#REF!)</f>
        <v>#REF!</v>
      </c>
      <c r="AX30" s="87"/>
      <c r="BB30" s="117"/>
      <c r="BC30" s="117"/>
      <c r="BD30" s="117"/>
      <c r="BE30" s="117"/>
      <c r="BF30" s="115" t="s">
        <v>83</v>
      </c>
      <c r="BG30" s="42">
        <v>132.72</v>
      </c>
      <c r="BH30" s="117"/>
      <c r="BI30" s="117"/>
      <c r="BJ30" s="117"/>
      <c r="BK30" s="117"/>
      <c r="BL30" s="117"/>
    </row>
    <row r="31" spans="1:64">
      <c r="C31" s="121"/>
      <c r="N31" t="s">
        <v>84</v>
      </c>
      <c r="O31" s="102" t="e">
        <f>#REF!</f>
        <v>#REF!</v>
      </c>
      <c r="Z31" s="115" t="e">
        <f>#REF!</f>
        <v>#REF!</v>
      </c>
      <c r="AA31" s="42" t="e">
        <f>#REF!</f>
        <v>#REF!</v>
      </c>
      <c r="AB31" s="42" t="e">
        <f>#REF!</f>
        <v>#REF!</v>
      </c>
      <c r="AC31" s="42" t="e">
        <f>#REF!</f>
        <v>#REF!</v>
      </c>
      <c r="AD31" s="42" t="e">
        <f>#REF!</f>
        <v>#REF!</v>
      </c>
      <c r="AE31" s="42" t="e">
        <f>#REF!</f>
        <v>#REF!</v>
      </c>
      <c r="AF31" s="42" t="e">
        <f>#REF!</f>
        <v>#REF!</v>
      </c>
      <c r="AG31" s="42" t="e">
        <f>#REF!</f>
        <v>#REF!</v>
      </c>
      <c r="AH31" s="42" t="e">
        <f>#REF!</f>
        <v>#REF!</v>
      </c>
      <c r="AI31" s="29" t="e">
        <f>#REF!</f>
        <v>#REF!</v>
      </c>
      <c r="AM31" t="s">
        <v>85</v>
      </c>
      <c r="AN31" s="87" t="e">
        <f>#REF!</f>
        <v>#REF!</v>
      </c>
      <c r="AV31" t="s">
        <v>86</v>
      </c>
      <c r="AW31" s="87" t="e">
        <f>SUM(#REF!)</f>
        <v>#REF!</v>
      </c>
      <c r="AX31" s="87"/>
      <c r="BB31" s="117"/>
      <c r="BC31" s="117"/>
      <c r="BD31" s="117"/>
      <c r="BE31" s="117"/>
      <c r="BF31" s="115" t="s">
        <v>87</v>
      </c>
      <c r="BG31" s="42">
        <v>61.696999999999996</v>
      </c>
      <c r="BH31" s="117"/>
      <c r="BI31" s="117"/>
      <c r="BJ31" s="117"/>
      <c r="BK31" s="117"/>
      <c r="BL31" s="117"/>
    </row>
    <row r="32" spans="1:64" ht="14.65" thickBot="1">
      <c r="C32" s="121"/>
      <c r="N32" t="s">
        <v>88</v>
      </c>
      <c r="O32" s="102" t="e">
        <f>-#REF!</f>
        <v>#REF!</v>
      </c>
      <c r="Z32" s="116" t="e">
        <f>#REF!</f>
        <v>#REF!</v>
      </c>
      <c r="AA32" s="44" t="e">
        <f>#REF!</f>
        <v>#REF!</v>
      </c>
      <c r="AB32" s="44" t="e">
        <f>#REF!</f>
        <v>#REF!</v>
      </c>
      <c r="AC32" s="44" t="e">
        <f>#REF!</f>
        <v>#REF!</v>
      </c>
      <c r="AD32" s="44" t="e">
        <f>#REF!</f>
        <v>#REF!</v>
      </c>
      <c r="AE32" s="44" t="e">
        <f>#REF!</f>
        <v>#REF!</v>
      </c>
      <c r="AF32" s="44" t="e">
        <f>#REF!</f>
        <v>#REF!</v>
      </c>
      <c r="AG32" s="44" t="e">
        <f>#REF!</f>
        <v>#REF!</v>
      </c>
      <c r="AH32" s="44" t="e">
        <f>#REF!</f>
        <v>#REF!</v>
      </c>
      <c r="AI32" s="29" t="e">
        <f>#REF!</f>
        <v>#REF!</v>
      </c>
      <c r="AM32" t="s">
        <v>89</v>
      </c>
      <c r="AN32" s="87" t="e">
        <f>#REF!</f>
        <v>#REF!</v>
      </c>
      <c r="AV32" s="89" t="s">
        <v>0</v>
      </c>
      <c r="AW32" s="108" t="e">
        <f>SUM(AW28:AW31)</f>
        <v>#REF!</v>
      </c>
      <c r="AX32" s="87"/>
      <c r="BB32" s="117"/>
      <c r="BC32" s="117"/>
      <c r="BD32" s="117"/>
      <c r="BE32" s="117"/>
      <c r="BF32" s="115" t="s">
        <v>90</v>
      </c>
      <c r="BG32" s="42">
        <v>51.282613999999995</v>
      </c>
      <c r="BH32" s="117"/>
      <c r="BI32" s="117"/>
      <c r="BJ32" s="117"/>
      <c r="BK32" s="117"/>
      <c r="BL32" s="117"/>
    </row>
    <row r="33" spans="1:64" ht="14.65" thickBot="1">
      <c r="C33" s="121"/>
      <c r="N33" t="s">
        <v>91</v>
      </c>
      <c r="O33" s="102" t="e">
        <f>#REF!</f>
        <v>#REF!</v>
      </c>
      <c r="Z33" s="15" t="e">
        <f>#REF!</f>
        <v>#REF!</v>
      </c>
      <c r="AA33" s="15" t="e">
        <f>#REF!</f>
        <v>#REF!</v>
      </c>
      <c r="AB33" s="15" t="e">
        <f>#REF!</f>
        <v>#REF!</v>
      </c>
      <c r="AC33" s="15" t="e">
        <f>#REF!</f>
        <v>#REF!</v>
      </c>
      <c r="AD33" s="15" t="e">
        <f>#REF!</f>
        <v>#REF!</v>
      </c>
      <c r="AE33" s="15" t="e">
        <f>#REF!</f>
        <v>#REF!</v>
      </c>
      <c r="AF33" s="15" t="e">
        <f>#REF!</f>
        <v>#REF!</v>
      </c>
      <c r="AG33" s="15" t="e">
        <f>#REF!</f>
        <v>#REF!</v>
      </c>
      <c r="AH33" s="15" t="e">
        <f>#REF!</f>
        <v>#REF!</v>
      </c>
      <c r="AI33" s="21" t="e">
        <f>#REF!</f>
        <v>#REF!</v>
      </c>
      <c r="AM33" t="s">
        <v>92</v>
      </c>
      <c r="AN33" s="87" t="e">
        <f>#REF!</f>
        <v>#REF!</v>
      </c>
      <c r="AV33" t="s">
        <v>93</v>
      </c>
      <c r="AW33" s="87" t="e">
        <f>AN34</f>
        <v>#REF!</v>
      </c>
      <c r="AX33" s="87"/>
      <c r="BB33" s="117"/>
      <c r="BC33" s="117"/>
      <c r="BD33" s="117"/>
      <c r="BE33" s="117"/>
      <c r="BF33" s="115" t="s">
        <v>94</v>
      </c>
      <c r="BG33" s="42">
        <v>45.334000000000003</v>
      </c>
      <c r="BH33" s="117"/>
      <c r="BI33" s="117"/>
      <c r="BJ33" s="117"/>
      <c r="BK33" s="117"/>
      <c r="BL33" s="117"/>
    </row>
    <row r="34" spans="1:64">
      <c r="N34" t="s">
        <v>95</v>
      </c>
      <c r="O34" s="102" t="e">
        <f>#REF!</f>
        <v>#REF!</v>
      </c>
      <c r="AM34" s="89" t="e">
        <f>#REF!</f>
        <v>#REF!</v>
      </c>
      <c r="AN34" s="108" t="e">
        <f>#REF!</f>
        <v>#REF!</v>
      </c>
      <c r="AV34" t="s">
        <v>96</v>
      </c>
      <c r="AW34" s="87" t="e">
        <f>AW33-AW32</f>
        <v>#REF!</v>
      </c>
      <c r="AX34" s="87"/>
      <c r="BB34" s="117"/>
      <c r="BC34" s="117"/>
      <c r="BD34" s="117"/>
      <c r="BE34" s="117"/>
      <c r="BF34" s="115" t="s">
        <v>97</v>
      </c>
      <c r="BG34" s="42">
        <v>33.253000000000007</v>
      </c>
      <c r="BH34" s="117"/>
      <c r="BI34" s="117"/>
      <c r="BJ34" s="117"/>
      <c r="BK34" s="117"/>
      <c r="BL34" s="117"/>
    </row>
    <row r="35" spans="1:64">
      <c r="A35" s="89"/>
      <c r="N35" t="s">
        <v>98</v>
      </c>
      <c r="O35" s="102" t="e">
        <f>#REF!</f>
        <v>#REF!</v>
      </c>
      <c r="AW35" s="87"/>
      <c r="AX35" s="87"/>
      <c r="BB35" s="117"/>
      <c r="BC35" s="117"/>
      <c r="BD35" s="117"/>
      <c r="BE35" s="117"/>
      <c r="BF35" s="115" t="s">
        <v>99</v>
      </c>
      <c r="BG35" s="42">
        <v>31.7164</v>
      </c>
      <c r="BH35" s="117"/>
      <c r="BI35" s="117"/>
      <c r="BJ35" s="117"/>
      <c r="BK35" s="117"/>
      <c r="BL35" s="117"/>
    </row>
    <row r="36" spans="1:64">
      <c r="B36" s="102"/>
      <c r="C36" s="106"/>
      <c r="N36" t="s">
        <v>100</v>
      </c>
      <c r="O36" s="102" t="e">
        <f>-#REF!</f>
        <v>#REF!</v>
      </c>
      <c r="AW36" s="87"/>
      <c r="AX36" s="87"/>
      <c r="BB36" s="117"/>
      <c r="BC36" s="117"/>
      <c r="BD36" s="117"/>
      <c r="BE36" s="117"/>
      <c r="BF36" s="115" t="s">
        <v>101</v>
      </c>
      <c r="BG36" s="42">
        <v>20.9</v>
      </c>
      <c r="BH36" s="117"/>
      <c r="BI36" s="117"/>
      <c r="BJ36" s="117"/>
      <c r="BK36" s="117"/>
      <c r="BL36" s="117"/>
    </row>
    <row r="37" spans="1:64">
      <c r="B37" s="102"/>
      <c r="D37" s="106"/>
      <c r="N37" t="s">
        <v>0</v>
      </c>
      <c r="O37" s="103" t="e">
        <f>SUM(O30:O36)</f>
        <v>#REF!</v>
      </c>
      <c r="AW37" s="87"/>
      <c r="AX37" s="87"/>
      <c r="BB37" s="117"/>
      <c r="BC37" s="117"/>
      <c r="BD37" s="117"/>
      <c r="BE37" s="117"/>
      <c r="BF37" s="115" t="s">
        <v>102</v>
      </c>
      <c r="BG37" s="42">
        <v>20.5</v>
      </c>
      <c r="BH37" s="117"/>
      <c r="BI37" s="117"/>
      <c r="BJ37" s="117"/>
      <c r="BK37" s="117"/>
      <c r="BL37" s="117"/>
    </row>
    <row r="38" spans="1:64">
      <c r="B38" s="102"/>
      <c r="E38" s="106"/>
      <c r="N38" t="s">
        <v>103</v>
      </c>
      <c r="O38" s="103" t="e">
        <f>O37-B25</f>
        <v>#REF!</v>
      </c>
      <c r="BB38" s="117"/>
      <c r="BC38" s="117"/>
      <c r="BD38" s="117"/>
      <c r="BE38" s="117"/>
      <c r="BF38" s="115" t="s">
        <v>104</v>
      </c>
      <c r="BG38" s="42">
        <v>13.1</v>
      </c>
      <c r="BH38" s="117"/>
      <c r="BI38" s="117"/>
      <c r="BJ38" s="117"/>
      <c r="BK38" s="117"/>
      <c r="BL38" s="117"/>
    </row>
    <row r="39" spans="1:64">
      <c r="B39" s="102"/>
      <c r="F39" s="106"/>
      <c r="BB39" s="117"/>
      <c r="BC39" s="117"/>
      <c r="BD39" s="117"/>
      <c r="BE39" s="117"/>
      <c r="BF39" s="115" t="s">
        <v>105</v>
      </c>
      <c r="BG39" s="42">
        <v>11.8</v>
      </c>
      <c r="BH39" s="117"/>
      <c r="BI39" s="117"/>
      <c r="BJ39" s="117"/>
      <c r="BK39" s="117"/>
      <c r="BL39" s="117"/>
    </row>
    <row r="40" spans="1:64">
      <c r="B40" s="102"/>
      <c r="G40" s="106"/>
      <c r="BB40" s="117"/>
      <c r="BC40" s="117"/>
      <c r="BD40" s="117"/>
      <c r="BE40" s="117"/>
      <c r="BF40" s="115" t="s">
        <v>106</v>
      </c>
      <c r="BG40" s="42">
        <v>11.6</v>
      </c>
      <c r="BH40" s="117"/>
      <c r="BI40" s="117"/>
      <c r="BJ40" s="117"/>
      <c r="BK40" s="117"/>
      <c r="BL40" s="117"/>
    </row>
    <row r="41" spans="1:64">
      <c r="B41" s="102"/>
      <c r="C41" s="107"/>
      <c r="D41" s="107"/>
      <c r="E41" s="107"/>
      <c r="F41" s="107"/>
      <c r="G41" s="107"/>
      <c r="BF41" s="115" t="s">
        <v>107</v>
      </c>
      <c r="BG41" s="42">
        <v>8.4079999999999995</v>
      </c>
      <c r="BH41" s="117"/>
      <c r="BI41" s="104"/>
      <c r="BJ41" s="104"/>
      <c r="BK41" s="104"/>
    </row>
    <row r="42" spans="1:64">
      <c r="B42" s="107"/>
      <c r="BF42" s="115" t="s">
        <v>108</v>
      </c>
      <c r="BG42" s="42">
        <v>6.3</v>
      </c>
      <c r="BH42" s="117"/>
      <c r="BI42" s="104"/>
      <c r="BJ42" s="104"/>
      <c r="BK42" s="104"/>
    </row>
    <row r="43" spans="1:64">
      <c r="BF43" s="115" t="s">
        <v>109</v>
      </c>
      <c r="BG43" s="42">
        <v>6.0490000000000004</v>
      </c>
      <c r="BH43" s="117"/>
      <c r="BI43" s="125"/>
      <c r="BJ43" s="104"/>
      <c r="BK43" s="104"/>
    </row>
    <row r="44" spans="1:64" ht="14.65" thickBot="1">
      <c r="BF44" s="116" t="s">
        <v>110</v>
      </c>
      <c r="BG44" s="44">
        <v>1</v>
      </c>
      <c r="BH44" s="104"/>
      <c r="BI44" s="104"/>
      <c r="BJ44" s="104"/>
      <c r="BK44" s="104"/>
    </row>
    <row r="45" spans="1:64" ht="14.65" thickBot="1">
      <c r="BF45" s="123" t="s">
        <v>111</v>
      </c>
      <c r="BG45" s="15">
        <f>SUM(BG29:BG44)</f>
        <v>766.66001399999993</v>
      </c>
      <c r="BH45" s="104"/>
      <c r="BI45" s="104"/>
      <c r="BJ45" s="104"/>
      <c r="BK45" s="104"/>
    </row>
    <row r="46" spans="1:64">
      <c r="BF46" s="115" t="s">
        <v>112</v>
      </c>
      <c r="BG46" s="42"/>
      <c r="BH46" s="104"/>
      <c r="BI46" s="104"/>
      <c r="BJ46" s="104"/>
      <c r="BK46" s="104"/>
    </row>
    <row r="47" spans="1:64">
      <c r="BF47" s="115" t="s">
        <v>113</v>
      </c>
      <c r="BG47" s="42">
        <v>1103.7353750000002</v>
      </c>
      <c r="BH47" s="104"/>
    </row>
    <row r="48" spans="1:64">
      <c r="H48" s="107"/>
      <c r="BF48" s="115" t="s">
        <v>114</v>
      </c>
      <c r="BG48" s="42">
        <v>237.4</v>
      </c>
      <c r="BH48" s="104"/>
    </row>
    <row r="49" spans="8:60">
      <c r="H49" s="107"/>
      <c r="BF49" s="115" t="s">
        <v>115</v>
      </c>
      <c r="BG49" s="42">
        <v>127</v>
      </c>
      <c r="BH49" s="104"/>
    </row>
    <row r="50" spans="8:60">
      <c r="H50" s="107"/>
      <c r="BF50" s="115" t="s">
        <v>116</v>
      </c>
      <c r="BG50" s="42">
        <v>76</v>
      </c>
    </row>
    <row r="51" spans="8:60">
      <c r="H51" s="107"/>
      <c r="BF51" s="115" t="s">
        <v>117</v>
      </c>
      <c r="BG51" s="42">
        <v>51.728448</v>
      </c>
    </row>
    <row r="52" spans="8:60">
      <c r="H52" s="107"/>
      <c r="BF52" s="115" t="s">
        <v>118</v>
      </c>
      <c r="BG52" s="42">
        <v>3.6970000000000001</v>
      </c>
    </row>
    <row r="53" spans="8:60" ht="14.65" thickBot="1">
      <c r="H53" s="107"/>
      <c r="BF53" s="116" t="s">
        <v>119</v>
      </c>
      <c r="BG53" s="44">
        <v>3.0699999999999648</v>
      </c>
    </row>
    <row r="54" spans="8:60" ht="14.65" thickBot="1">
      <c r="H54" s="107"/>
      <c r="BF54" s="123" t="s">
        <v>120</v>
      </c>
      <c r="BG54" s="15">
        <f>SUM(BG47:BG53)</f>
        <v>1602.6308230000002</v>
      </c>
    </row>
    <row r="55" spans="8:60">
      <c r="BG55" s="102"/>
    </row>
    <row r="56" spans="8:60">
      <c r="BF56" s="117"/>
      <c r="BG56" s="118"/>
    </row>
    <row r="57" spans="8:60">
      <c r="BG57" s="102"/>
    </row>
    <row r="58" spans="8:60">
      <c r="BG58" s="102"/>
    </row>
    <row r="59" spans="8:60">
      <c r="BG59" s="102"/>
    </row>
    <row r="60" spans="8:60">
      <c r="BG60" s="102"/>
    </row>
  </sheetData>
  <sortState xmlns:xlrd2="http://schemas.microsoft.com/office/spreadsheetml/2017/richdata2" ref="BF30:BG45">
    <sortCondition descending="1" ref="BG30:BG45"/>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484F-A9B6-4958-9DC6-2D7CF848C554}">
  <dimension ref="A1:O95"/>
  <sheetViews>
    <sheetView workbookViewId="0">
      <selection sqref="A1:E92"/>
    </sheetView>
  </sheetViews>
  <sheetFormatPr defaultRowHeight="14.25"/>
  <cols>
    <col min="1" max="1" width="37.3984375" customWidth="1"/>
    <col min="2" max="2" width="48.265625" customWidth="1"/>
    <col min="3" max="3" width="36.59765625" customWidth="1"/>
    <col min="4" max="5" width="8" customWidth="1"/>
    <col min="7" max="7" width="8.3984375" customWidth="1"/>
    <col min="8" max="11" width="8" customWidth="1"/>
    <col min="12" max="12" width="9.59765625" customWidth="1"/>
    <col min="13" max="14" width="8" customWidth="1"/>
  </cols>
  <sheetData>
    <row r="1" spans="1:15" ht="21">
      <c r="A1" s="272" t="s">
        <v>121</v>
      </c>
      <c r="B1" s="272"/>
      <c r="C1" s="273" t="s">
        <v>122</v>
      </c>
      <c r="D1" s="274"/>
      <c r="E1" s="274"/>
      <c r="F1" s="274"/>
      <c r="G1" s="274">
        <v>1</v>
      </c>
      <c r="H1" s="274">
        <v>2</v>
      </c>
      <c r="I1" s="274">
        <v>3</v>
      </c>
      <c r="J1" s="274">
        <v>4</v>
      </c>
      <c r="K1" s="274">
        <v>5</v>
      </c>
      <c r="L1" s="274" t="s">
        <v>123</v>
      </c>
      <c r="M1" s="274" t="s">
        <v>124</v>
      </c>
      <c r="N1" s="274" t="s">
        <v>125</v>
      </c>
    </row>
    <row r="2" spans="1:15" ht="42.75">
      <c r="A2" s="275" t="s">
        <v>126</v>
      </c>
      <c r="B2" s="275"/>
      <c r="C2" s="276"/>
      <c r="D2" s="277" t="s">
        <v>3</v>
      </c>
      <c r="E2" s="278" t="s">
        <v>4</v>
      </c>
      <c r="F2" s="278"/>
      <c r="G2" s="278" t="s">
        <v>4</v>
      </c>
      <c r="H2" s="278" t="s">
        <v>127</v>
      </c>
      <c r="I2" s="278" t="s">
        <v>128</v>
      </c>
      <c r="J2" s="278" t="s">
        <v>129</v>
      </c>
      <c r="K2" s="278" t="s">
        <v>130</v>
      </c>
      <c r="L2" s="279" t="s">
        <v>131</v>
      </c>
      <c r="M2" s="279" t="s">
        <v>132</v>
      </c>
      <c r="N2" s="279" t="s">
        <v>133</v>
      </c>
    </row>
    <row r="3" spans="1:15" ht="28.5">
      <c r="A3" s="280" t="s">
        <v>134</v>
      </c>
      <c r="B3" s="280" t="s">
        <v>135</v>
      </c>
      <c r="C3" s="281" t="s">
        <v>136</v>
      </c>
      <c r="D3" s="282" t="s">
        <v>137</v>
      </c>
      <c r="E3" s="279" t="s">
        <v>138</v>
      </c>
      <c r="F3" s="279"/>
      <c r="G3" s="279" t="s">
        <v>139</v>
      </c>
      <c r="H3" s="279" t="s">
        <v>140</v>
      </c>
      <c r="I3" s="279" t="s">
        <v>140</v>
      </c>
      <c r="J3" s="279" t="s">
        <v>140</v>
      </c>
      <c r="K3" s="279" t="s">
        <v>140</v>
      </c>
      <c r="L3" s="279" t="s">
        <v>140</v>
      </c>
      <c r="M3" s="279" t="s">
        <v>140</v>
      </c>
      <c r="N3" s="279" t="s">
        <v>140</v>
      </c>
    </row>
    <row r="4" spans="1:15">
      <c r="A4" s="283"/>
      <c r="B4" s="283"/>
      <c r="C4" s="284"/>
      <c r="D4" s="285" t="s">
        <v>40</v>
      </c>
      <c r="E4" s="286" t="s">
        <v>40</v>
      </c>
      <c r="F4" s="286"/>
      <c r="G4" s="286" t="s">
        <v>40</v>
      </c>
      <c r="H4" s="286" t="s">
        <v>40</v>
      </c>
      <c r="I4" s="286" t="s">
        <v>40</v>
      </c>
      <c r="J4" s="286" t="s">
        <v>40</v>
      </c>
      <c r="K4" s="286" t="s">
        <v>40</v>
      </c>
      <c r="L4" s="286" t="s">
        <v>40</v>
      </c>
      <c r="M4" s="286" t="s">
        <v>40</v>
      </c>
      <c r="N4" s="286" t="s">
        <v>40</v>
      </c>
    </row>
    <row r="5" spans="1:15">
      <c r="A5" s="287" t="s">
        <v>141</v>
      </c>
      <c r="B5" s="287" t="s">
        <v>141</v>
      </c>
      <c r="C5" s="287"/>
      <c r="D5" s="288">
        <v>382.01169662999996</v>
      </c>
      <c r="E5" s="288">
        <v>300</v>
      </c>
      <c r="F5" s="287"/>
      <c r="G5" s="288">
        <v>300</v>
      </c>
      <c r="H5" s="288">
        <v>678.57930336999993</v>
      </c>
      <c r="I5" s="288">
        <v>633</v>
      </c>
      <c r="J5" s="288">
        <v>757.7</v>
      </c>
      <c r="K5" s="288">
        <v>0</v>
      </c>
      <c r="L5" s="288">
        <v>582.76358056000095</v>
      </c>
      <c r="M5" s="288">
        <v>0</v>
      </c>
      <c r="N5" s="288">
        <v>0</v>
      </c>
      <c r="O5" t="b">
        <f>OR(G5&gt;10,H5&gt;10,I5&gt;10,J5&gt;10,K5&gt;10)</f>
        <v>1</v>
      </c>
    </row>
    <row r="6" spans="1:15">
      <c r="A6" s="287" t="s">
        <v>142</v>
      </c>
      <c r="B6" s="287" t="s">
        <v>143</v>
      </c>
      <c r="C6" s="287"/>
      <c r="D6" s="288">
        <v>0.3745</v>
      </c>
      <c r="E6" s="288">
        <v>12.628</v>
      </c>
      <c r="F6" s="287"/>
      <c r="G6" s="288">
        <v>11.079822999999999</v>
      </c>
      <c r="H6" s="288">
        <v>7</v>
      </c>
      <c r="I6" s="288">
        <v>7</v>
      </c>
      <c r="J6" s="288">
        <v>2.5019999999999998</v>
      </c>
      <c r="K6" s="288">
        <v>0</v>
      </c>
      <c r="L6" s="288">
        <v>0</v>
      </c>
      <c r="M6" s="288">
        <v>0</v>
      </c>
      <c r="N6" s="288">
        <v>0</v>
      </c>
      <c r="O6" t="b">
        <f t="shared" ref="O6:O69" si="0">OR(G6&gt;10,H6&gt;10,I6&gt;10,J6&gt;10,K6&gt;10)</f>
        <v>1</v>
      </c>
    </row>
    <row r="7" spans="1:15">
      <c r="A7" s="287" t="s">
        <v>144</v>
      </c>
      <c r="B7" s="287" t="s">
        <v>144</v>
      </c>
      <c r="C7" s="287"/>
      <c r="D7" s="288">
        <v>0</v>
      </c>
      <c r="E7" s="288">
        <v>10</v>
      </c>
      <c r="F7" s="287"/>
      <c r="G7" s="288">
        <v>10</v>
      </c>
      <c r="H7" s="288">
        <v>10</v>
      </c>
      <c r="I7" s="288">
        <v>100</v>
      </c>
      <c r="J7" s="288">
        <v>200</v>
      </c>
      <c r="K7" s="288">
        <v>500</v>
      </c>
      <c r="L7" s="288">
        <v>3180</v>
      </c>
      <c r="M7" s="288">
        <v>0</v>
      </c>
      <c r="N7" s="288">
        <v>0</v>
      </c>
      <c r="O7" t="b">
        <f t="shared" si="0"/>
        <v>1</v>
      </c>
    </row>
    <row r="8" spans="1:15">
      <c r="A8" s="287" t="s">
        <v>141</v>
      </c>
      <c r="B8" s="287" t="s">
        <v>145</v>
      </c>
      <c r="C8" s="287"/>
      <c r="D8" s="288">
        <v>4.5839272099999997</v>
      </c>
      <c r="E8" s="288">
        <v>35.416072790000001</v>
      </c>
      <c r="F8" s="287"/>
      <c r="G8" s="288">
        <v>35.415999999999997</v>
      </c>
      <c r="H8" s="288">
        <v>71.330000000000013</v>
      </c>
      <c r="I8" s="288">
        <v>55.361451666666674</v>
      </c>
      <c r="J8" s="288">
        <v>39.816000000000003</v>
      </c>
      <c r="K8" s="288">
        <v>0</v>
      </c>
      <c r="L8" s="288">
        <v>29.837573666666671</v>
      </c>
      <c r="M8" s="288">
        <v>0</v>
      </c>
      <c r="N8" s="288">
        <v>0</v>
      </c>
      <c r="O8" t="b">
        <f t="shared" si="0"/>
        <v>1</v>
      </c>
    </row>
    <row r="9" spans="1:15">
      <c r="A9" s="287" t="s">
        <v>146</v>
      </c>
      <c r="B9" s="287" t="s">
        <v>147</v>
      </c>
      <c r="C9" s="287"/>
      <c r="D9" s="288">
        <v>2.3763368799999998</v>
      </c>
      <c r="E9" s="288">
        <v>4.4493689999999999</v>
      </c>
      <c r="F9" s="287"/>
      <c r="G9" s="288">
        <v>2.5</v>
      </c>
      <c r="H9" s="288">
        <v>0</v>
      </c>
      <c r="I9" s="288">
        <v>0</v>
      </c>
      <c r="J9" s="288">
        <v>0</v>
      </c>
      <c r="K9" s="288">
        <v>0</v>
      </c>
      <c r="L9" s="288">
        <v>0</v>
      </c>
      <c r="M9" s="288">
        <v>0</v>
      </c>
      <c r="N9" s="288">
        <v>0</v>
      </c>
      <c r="O9" t="b">
        <f t="shared" si="0"/>
        <v>0</v>
      </c>
    </row>
    <row r="10" spans="1:15">
      <c r="A10" s="287" t="s">
        <v>146</v>
      </c>
      <c r="B10" s="287" t="s">
        <v>148</v>
      </c>
      <c r="C10" s="287"/>
      <c r="D10" s="288">
        <v>0</v>
      </c>
      <c r="E10" s="288">
        <v>7.11511286</v>
      </c>
      <c r="F10" s="287"/>
      <c r="G10" s="288">
        <v>7.12</v>
      </c>
      <c r="H10" s="288">
        <v>0</v>
      </c>
      <c r="I10" s="288">
        <v>0</v>
      </c>
      <c r="J10" s="288">
        <v>0</v>
      </c>
      <c r="K10" s="288">
        <v>0</v>
      </c>
      <c r="L10" s="288">
        <v>0</v>
      </c>
      <c r="M10" s="288">
        <v>0</v>
      </c>
      <c r="N10" s="288">
        <v>0</v>
      </c>
      <c r="O10" t="b">
        <f t="shared" si="0"/>
        <v>0</v>
      </c>
    </row>
    <row r="11" spans="1:15">
      <c r="A11" s="287" t="s">
        <v>149</v>
      </c>
      <c r="B11" s="287" t="s">
        <v>150</v>
      </c>
      <c r="C11" s="287"/>
      <c r="D11" s="288">
        <v>12.054021770000002</v>
      </c>
      <c r="E11" s="288">
        <v>28.188479999999998</v>
      </c>
      <c r="F11" s="287"/>
      <c r="G11" s="288">
        <v>53.292592999999997</v>
      </c>
      <c r="H11" s="288">
        <v>20</v>
      </c>
      <c r="I11" s="288">
        <v>65</v>
      </c>
      <c r="J11" s="288">
        <v>101.462</v>
      </c>
      <c r="K11" s="288">
        <v>115.032</v>
      </c>
      <c r="L11" s="288">
        <v>0</v>
      </c>
      <c r="M11" s="288">
        <v>0</v>
      </c>
      <c r="N11" s="288">
        <v>0</v>
      </c>
      <c r="O11" t="b">
        <f t="shared" si="0"/>
        <v>1</v>
      </c>
    </row>
    <row r="12" spans="1:15">
      <c r="A12" s="287" t="s">
        <v>151</v>
      </c>
      <c r="B12" s="287" t="s">
        <v>152</v>
      </c>
      <c r="C12" s="287"/>
      <c r="D12" s="288">
        <v>16.900611999999999</v>
      </c>
      <c r="E12" s="288">
        <v>80.000387999999987</v>
      </c>
      <c r="F12" s="287"/>
      <c r="G12" s="288">
        <v>83.116</v>
      </c>
      <c r="H12" s="288">
        <v>17.236999999999998</v>
      </c>
      <c r="I12" s="288">
        <v>0</v>
      </c>
      <c r="J12" s="288">
        <v>0</v>
      </c>
      <c r="K12" s="288">
        <v>0</v>
      </c>
      <c r="L12" s="288">
        <v>0</v>
      </c>
      <c r="M12" s="288">
        <v>0</v>
      </c>
      <c r="N12" s="288">
        <v>0</v>
      </c>
      <c r="O12" t="b">
        <f t="shared" si="0"/>
        <v>1</v>
      </c>
    </row>
    <row r="13" spans="1:15">
      <c r="A13" s="287" t="s">
        <v>153</v>
      </c>
      <c r="B13" s="287" t="s">
        <v>154</v>
      </c>
      <c r="C13" s="287"/>
      <c r="D13" s="288">
        <v>10.094093000000001</v>
      </c>
      <c r="E13" s="288">
        <v>64.900000000000006</v>
      </c>
      <c r="F13" s="287"/>
      <c r="G13" s="288">
        <v>64.900000000000006</v>
      </c>
      <c r="H13" s="288">
        <v>75</v>
      </c>
      <c r="I13" s="288">
        <v>0</v>
      </c>
      <c r="J13" s="288">
        <v>0</v>
      </c>
      <c r="K13" s="288">
        <v>0</v>
      </c>
      <c r="L13" s="288">
        <v>0</v>
      </c>
      <c r="M13" s="288">
        <v>0</v>
      </c>
      <c r="N13" s="288">
        <v>0</v>
      </c>
      <c r="O13" t="b">
        <f t="shared" si="0"/>
        <v>1</v>
      </c>
    </row>
    <row r="14" spans="1:15">
      <c r="A14" s="287" t="s">
        <v>155</v>
      </c>
      <c r="B14" s="287" t="s">
        <v>155</v>
      </c>
      <c r="C14" s="287"/>
      <c r="D14" s="288">
        <v>10.831033</v>
      </c>
      <c r="E14" s="288">
        <v>99.168967000000009</v>
      </c>
      <c r="F14" s="287"/>
      <c r="G14" s="288">
        <v>100</v>
      </c>
      <c r="H14" s="288">
        <v>100</v>
      </c>
      <c r="I14" s="288">
        <v>490</v>
      </c>
      <c r="J14" s="288">
        <v>0</v>
      </c>
      <c r="K14" s="288">
        <v>0</v>
      </c>
      <c r="L14" s="288">
        <v>0</v>
      </c>
      <c r="M14" s="288">
        <v>0</v>
      </c>
      <c r="N14" s="288">
        <v>0</v>
      </c>
      <c r="O14" t="b">
        <f t="shared" si="0"/>
        <v>1</v>
      </c>
    </row>
    <row r="15" spans="1:15">
      <c r="A15" s="287" t="s">
        <v>156</v>
      </c>
      <c r="B15" s="287" t="s">
        <v>157</v>
      </c>
      <c r="C15" s="287"/>
      <c r="D15" s="288">
        <v>0</v>
      </c>
      <c r="E15" s="288">
        <v>16.100000000000001</v>
      </c>
      <c r="F15" s="287"/>
      <c r="G15" s="288">
        <v>11</v>
      </c>
      <c r="H15" s="288">
        <v>0</v>
      </c>
      <c r="I15" s="288">
        <v>0</v>
      </c>
      <c r="J15" s="288">
        <v>0</v>
      </c>
      <c r="K15" s="288">
        <v>0</v>
      </c>
      <c r="L15" s="288">
        <v>0</v>
      </c>
      <c r="M15" s="288">
        <v>0</v>
      </c>
      <c r="N15" s="288">
        <v>0</v>
      </c>
      <c r="O15" t="b">
        <f t="shared" si="0"/>
        <v>1</v>
      </c>
    </row>
    <row r="16" spans="1:15">
      <c r="A16" s="287" t="s">
        <v>146</v>
      </c>
      <c r="B16" s="287" t="s">
        <v>158</v>
      </c>
      <c r="C16" s="287"/>
      <c r="D16" s="288">
        <v>3.09</v>
      </c>
      <c r="E16" s="288">
        <v>8.0500000000000007</v>
      </c>
      <c r="F16" s="287"/>
      <c r="G16" s="288">
        <v>8.23</v>
      </c>
      <c r="H16" s="288">
        <v>3</v>
      </c>
      <c r="I16" s="288">
        <v>0</v>
      </c>
      <c r="J16" s="288">
        <v>0</v>
      </c>
      <c r="K16" s="288">
        <v>0</v>
      </c>
      <c r="L16" s="288">
        <v>0</v>
      </c>
      <c r="M16" s="288">
        <v>0</v>
      </c>
      <c r="N16" s="288">
        <v>0</v>
      </c>
      <c r="O16" t="b">
        <f t="shared" si="0"/>
        <v>0</v>
      </c>
    </row>
    <row r="17" spans="1:15">
      <c r="A17" s="287" t="s">
        <v>156</v>
      </c>
      <c r="B17" s="287" t="s">
        <v>159</v>
      </c>
      <c r="C17" s="287"/>
      <c r="D17" s="288">
        <v>10.595223000000001</v>
      </c>
      <c r="E17" s="288">
        <v>73.069000000000003</v>
      </c>
      <c r="F17" s="287"/>
      <c r="G17" s="288">
        <v>72.140404000000004</v>
      </c>
      <c r="H17" s="288">
        <v>14.01</v>
      </c>
      <c r="I17" s="288">
        <v>0</v>
      </c>
      <c r="J17" s="288">
        <v>0</v>
      </c>
      <c r="K17" s="288">
        <v>0</v>
      </c>
      <c r="L17" s="288">
        <v>0</v>
      </c>
      <c r="M17" s="288">
        <v>0</v>
      </c>
      <c r="N17" s="288">
        <v>0</v>
      </c>
      <c r="O17" t="b">
        <f t="shared" si="0"/>
        <v>1</v>
      </c>
    </row>
    <row r="18" spans="1:15">
      <c r="A18" s="287" t="s">
        <v>160</v>
      </c>
      <c r="B18" s="287" t="s">
        <v>160</v>
      </c>
      <c r="C18" s="287"/>
      <c r="D18" s="288">
        <v>27.042000000000002</v>
      </c>
      <c r="E18" s="288">
        <v>13.058999999999999</v>
      </c>
      <c r="F18" s="287"/>
      <c r="G18" s="288">
        <v>13.058999999999999</v>
      </c>
      <c r="H18" s="288">
        <v>0</v>
      </c>
      <c r="I18" s="288">
        <v>0</v>
      </c>
      <c r="J18" s="288">
        <v>0</v>
      </c>
      <c r="K18" s="288">
        <v>0</v>
      </c>
      <c r="L18" s="288">
        <v>0</v>
      </c>
      <c r="M18" s="288">
        <v>0</v>
      </c>
      <c r="N18" s="288">
        <v>0</v>
      </c>
      <c r="O18" t="b">
        <f t="shared" si="0"/>
        <v>1</v>
      </c>
    </row>
    <row r="19" spans="1:15">
      <c r="A19" s="287" t="s">
        <v>161</v>
      </c>
      <c r="B19" s="287" t="s">
        <v>161</v>
      </c>
      <c r="C19" s="287"/>
      <c r="D19" s="288">
        <v>3.471911</v>
      </c>
      <c r="E19" s="288">
        <v>18.596088999999999</v>
      </c>
      <c r="F19" s="287"/>
      <c r="G19" s="288">
        <v>18.596088999999999</v>
      </c>
      <c r="H19" s="288">
        <v>9.8840000000000003</v>
      </c>
      <c r="I19" s="288">
        <v>6</v>
      </c>
      <c r="J19" s="288">
        <v>0</v>
      </c>
      <c r="K19" s="288">
        <v>0</v>
      </c>
      <c r="L19" s="288">
        <v>0</v>
      </c>
      <c r="M19" s="288">
        <v>0</v>
      </c>
      <c r="N19" s="288">
        <v>0</v>
      </c>
      <c r="O19" t="b">
        <f t="shared" si="0"/>
        <v>1</v>
      </c>
    </row>
    <row r="20" spans="1:15">
      <c r="A20" s="287" t="s">
        <v>162</v>
      </c>
      <c r="B20" s="287" t="s">
        <v>162</v>
      </c>
      <c r="C20" s="287"/>
      <c r="D20" s="288">
        <v>27.718677</v>
      </c>
      <c r="E20" s="288">
        <v>46.143000000000001</v>
      </c>
      <c r="F20" s="287"/>
      <c r="G20" s="288">
        <v>16.2</v>
      </c>
      <c r="H20" s="288">
        <v>8.4450000000000003</v>
      </c>
      <c r="I20" s="288">
        <v>0</v>
      </c>
      <c r="J20" s="288">
        <v>0</v>
      </c>
      <c r="K20" s="288">
        <v>0</v>
      </c>
      <c r="L20" s="288">
        <v>0</v>
      </c>
      <c r="M20" s="288">
        <v>0</v>
      </c>
      <c r="N20" s="288">
        <v>0</v>
      </c>
      <c r="O20" t="b">
        <f t="shared" si="0"/>
        <v>1</v>
      </c>
    </row>
    <row r="21" spans="1:15">
      <c r="A21" s="287" t="s">
        <v>146</v>
      </c>
      <c r="B21" s="287" t="s">
        <v>163</v>
      </c>
      <c r="C21" s="287"/>
      <c r="D21" s="288">
        <v>4.1611111799999998</v>
      </c>
      <c r="E21" s="288">
        <v>5.53888946</v>
      </c>
      <c r="F21" s="287"/>
      <c r="G21" s="288">
        <v>5.0109521499999996</v>
      </c>
      <c r="H21" s="288">
        <v>0</v>
      </c>
      <c r="I21" s="288">
        <v>0</v>
      </c>
      <c r="J21" s="288">
        <v>0</v>
      </c>
      <c r="K21" s="288">
        <v>0</v>
      </c>
      <c r="L21" s="288">
        <v>0</v>
      </c>
      <c r="M21" s="288">
        <v>0</v>
      </c>
      <c r="N21" s="288">
        <v>0</v>
      </c>
      <c r="O21" t="b">
        <f t="shared" si="0"/>
        <v>0</v>
      </c>
    </row>
    <row r="22" spans="1:15">
      <c r="A22" s="287" t="s">
        <v>164</v>
      </c>
      <c r="B22" s="287" t="s">
        <v>9</v>
      </c>
      <c r="C22" s="287"/>
      <c r="D22" s="288">
        <v>2.9703488399999998</v>
      </c>
      <c r="E22" s="288">
        <v>22.366999999999997</v>
      </c>
      <c r="F22" s="287"/>
      <c r="G22" s="288">
        <v>22.367000000000001</v>
      </c>
      <c r="H22" s="288">
        <v>22.08</v>
      </c>
      <c r="I22" s="288">
        <v>25.067</v>
      </c>
      <c r="J22" s="288">
        <v>20.792000000000002</v>
      </c>
      <c r="K22" s="288">
        <v>0</v>
      </c>
      <c r="L22" s="288">
        <v>47.625999999999998</v>
      </c>
      <c r="M22" s="288">
        <v>0</v>
      </c>
      <c r="N22" s="288">
        <v>0</v>
      </c>
      <c r="O22" t="b">
        <f t="shared" si="0"/>
        <v>1</v>
      </c>
    </row>
    <row r="23" spans="1:15">
      <c r="A23" s="287" t="s">
        <v>146</v>
      </c>
      <c r="B23" s="287" t="s">
        <v>165</v>
      </c>
      <c r="C23" s="287"/>
      <c r="D23" s="288">
        <v>7.1968379999999996</v>
      </c>
      <c r="E23" s="288">
        <v>0</v>
      </c>
      <c r="F23" s="287"/>
      <c r="G23" s="288">
        <v>5</v>
      </c>
      <c r="H23" s="288">
        <v>0</v>
      </c>
      <c r="I23" s="288">
        <v>0</v>
      </c>
      <c r="J23" s="288">
        <v>0</v>
      </c>
      <c r="K23" s="288">
        <v>0</v>
      </c>
      <c r="L23" s="288">
        <v>0</v>
      </c>
      <c r="M23" s="288">
        <v>0</v>
      </c>
      <c r="N23" s="288">
        <v>0</v>
      </c>
      <c r="O23" t="b">
        <f t="shared" si="0"/>
        <v>0</v>
      </c>
    </row>
    <row r="24" spans="1:15">
      <c r="A24" s="287" t="s">
        <v>166</v>
      </c>
      <c r="B24" s="287" t="s">
        <v>166</v>
      </c>
      <c r="C24" s="287"/>
      <c r="D24" s="288">
        <v>14.57450047</v>
      </c>
      <c r="E24" s="288">
        <v>10.617801999999999</v>
      </c>
      <c r="F24" s="287"/>
      <c r="G24" s="288">
        <v>10.62</v>
      </c>
      <c r="H24" s="288">
        <v>9</v>
      </c>
      <c r="I24" s="288">
        <v>1</v>
      </c>
      <c r="J24" s="288">
        <v>14</v>
      </c>
      <c r="K24" s="288">
        <v>0</v>
      </c>
      <c r="L24" s="288">
        <v>0</v>
      </c>
      <c r="M24" s="288">
        <v>0</v>
      </c>
      <c r="N24" s="288">
        <v>0</v>
      </c>
      <c r="O24" t="b">
        <f t="shared" si="0"/>
        <v>1</v>
      </c>
    </row>
    <row r="25" spans="1:15">
      <c r="A25" s="287" t="s">
        <v>167</v>
      </c>
      <c r="B25" s="287" t="s">
        <v>168</v>
      </c>
      <c r="C25" s="287"/>
      <c r="D25" s="288">
        <v>20.782114360000001</v>
      </c>
      <c r="E25" s="288">
        <v>27.721803000000001</v>
      </c>
      <c r="F25" s="287"/>
      <c r="G25" s="288">
        <v>27.72</v>
      </c>
      <c r="H25" s="288">
        <v>50.241000000000014</v>
      </c>
      <c r="I25" s="288">
        <v>100</v>
      </c>
      <c r="J25" s="288">
        <v>72.037000000000006</v>
      </c>
      <c r="K25" s="288">
        <v>0</v>
      </c>
      <c r="L25" s="288">
        <v>0</v>
      </c>
      <c r="M25" s="288">
        <v>0</v>
      </c>
      <c r="N25" s="288">
        <v>0</v>
      </c>
      <c r="O25" t="b">
        <f t="shared" si="0"/>
        <v>1</v>
      </c>
    </row>
    <row r="26" spans="1:15">
      <c r="A26" s="287" t="s">
        <v>146</v>
      </c>
      <c r="B26" s="287" t="s">
        <v>169</v>
      </c>
      <c r="C26" s="287"/>
      <c r="D26" s="288">
        <v>29.984887140000001</v>
      </c>
      <c r="E26" s="288">
        <v>0</v>
      </c>
      <c r="F26" s="287"/>
      <c r="G26" s="288"/>
      <c r="H26" s="288">
        <v>0</v>
      </c>
      <c r="I26" s="288">
        <v>0</v>
      </c>
      <c r="J26" s="288">
        <v>0</v>
      </c>
      <c r="K26" s="288">
        <v>0</v>
      </c>
      <c r="L26" s="288">
        <v>0</v>
      </c>
      <c r="M26" s="288">
        <v>0</v>
      </c>
      <c r="N26" s="288">
        <v>0</v>
      </c>
      <c r="O26" t="b">
        <f t="shared" si="0"/>
        <v>0</v>
      </c>
    </row>
    <row r="27" spans="1:15">
      <c r="A27" s="287" t="s">
        <v>146</v>
      </c>
      <c r="B27" s="287" t="s">
        <v>170</v>
      </c>
      <c r="C27" s="287"/>
      <c r="D27" s="288">
        <v>0</v>
      </c>
      <c r="E27" s="288">
        <v>3.3</v>
      </c>
      <c r="F27" s="287"/>
      <c r="G27" s="288">
        <v>5.39</v>
      </c>
      <c r="H27" s="288">
        <v>0</v>
      </c>
      <c r="I27" s="288">
        <v>0</v>
      </c>
      <c r="J27" s="288">
        <v>0</v>
      </c>
      <c r="K27" s="288">
        <v>0</v>
      </c>
      <c r="L27" s="288">
        <v>0</v>
      </c>
      <c r="M27" s="288">
        <v>0</v>
      </c>
      <c r="N27" s="288">
        <v>0</v>
      </c>
      <c r="O27" t="b">
        <f t="shared" si="0"/>
        <v>0</v>
      </c>
    </row>
    <row r="28" spans="1:15">
      <c r="A28" s="287" t="s">
        <v>146</v>
      </c>
      <c r="B28" s="287" t="s">
        <v>171</v>
      </c>
      <c r="C28" s="287"/>
      <c r="D28" s="288">
        <v>0.31892014000000002</v>
      </c>
      <c r="E28" s="288">
        <v>5.1989999999999998</v>
      </c>
      <c r="F28" s="287"/>
      <c r="G28" s="288">
        <v>5.1989999999999998</v>
      </c>
      <c r="H28" s="288">
        <v>3.2</v>
      </c>
      <c r="I28" s="288">
        <v>0</v>
      </c>
      <c r="J28" s="288">
        <v>0</v>
      </c>
      <c r="K28" s="288">
        <v>0</v>
      </c>
      <c r="L28" s="288">
        <v>0</v>
      </c>
      <c r="M28" s="288">
        <v>0</v>
      </c>
      <c r="N28" s="288">
        <v>0</v>
      </c>
      <c r="O28" t="b">
        <f t="shared" si="0"/>
        <v>0</v>
      </c>
    </row>
    <row r="29" spans="1:15">
      <c r="A29" s="287" t="s">
        <v>172</v>
      </c>
      <c r="B29" s="287" t="s">
        <v>172</v>
      </c>
      <c r="C29" s="287"/>
      <c r="D29" s="288">
        <v>6.9826166999999995</v>
      </c>
      <c r="E29" s="288">
        <v>24.440999999999999</v>
      </c>
      <c r="F29" s="287"/>
      <c r="G29" s="288">
        <v>24.440999999999999</v>
      </c>
      <c r="H29" s="288">
        <v>15.422000000000001</v>
      </c>
      <c r="I29" s="288">
        <v>5.3</v>
      </c>
      <c r="J29" s="288">
        <v>1</v>
      </c>
      <c r="K29" s="288">
        <v>0</v>
      </c>
      <c r="L29" s="288">
        <v>0</v>
      </c>
      <c r="M29" s="288">
        <v>0</v>
      </c>
      <c r="N29" s="288">
        <v>0</v>
      </c>
      <c r="O29" t="b">
        <f t="shared" si="0"/>
        <v>1</v>
      </c>
    </row>
    <row r="30" spans="1:15">
      <c r="A30" s="287" t="s">
        <v>173</v>
      </c>
      <c r="B30" s="287" t="s">
        <v>173</v>
      </c>
      <c r="C30" s="287"/>
      <c r="D30" s="288">
        <v>15.070996350000001</v>
      </c>
      <c r="E30" s="288">
        <v>9.1619999999999955</v>
      </c>
      <c r="F30" s="287"/>
      <c r="G30" s="288">
        <v>9.1619999999999955</v>
      </c>
      <c r="H30" s="288">
        <v>21.9</v>
      </c>
      <c r="I30" s="288">
        <v>13.603</v>
      </c>
      <c r="J30" s="288">
        <v>20</v>
      </c>
      <c r="K30" s="288">
        <v>0</v>
      </c>
      <c r="L30" s="288">
        <v>0</v>
      </c>
      <c r="M30" s="288">
        <v>0</v>
      </c>
      <c r="N30" s="288">
        <v>0</v>
      </c>
      <c r="O30" t="b">
        <f t="shared" si="0"/>
        <v>1</v>
      </c>
    </row>
    <row r="31" spans="1:15">
      <c r="A31" s="287" t="s">
        <v>15</v>
      </c>
      <c r="B31" s="287" t="s">
        <v>15</v>
      </c>
      <c r="C31" s="287"/>
      <c r="D31" s="288">
        <v>11.782942009999998</v>
      </c>
      <c r="E31" s="288">
        <v>11.258000000000003</v>
      </c>
      <c r="F31" s="287"/>
      <c r="G31" s="288">
        <v>11.258000000000003</v>
      </c>
      <c r="H31" s="288">
        <v>10.6</v>
      </c>
      <c r="I31" s="288">
        <v>9.4</v>
      </c>
      <c r="J31" s="288">
        <v>0</v>
      </c>
      <c r="K31" s="288">
        <v>0</v>
      </c>
      <c r="L31" s="288">
        <v>0</v>
      </c>
      <c r="M31" s="288">
        <v>0</v>
      </c>
      <c r="N31" s="288">
        <v>0</v>
      </c>
      <c r="O31" t="b">
        <f t="shared" si="0"/>
        <v>1</v>
      </c>
    </row>
    <row r="32" spans="1:15">
      <c r="A32" s="287" t="s">
        <v>146</v>
      </c>
      <c r="B32" s="287" t="s">
        <v>174</v>
      </c>
      <c r="C32" s="287"/>
      <c r="D32" s="288">
        <v>3</v>
      </c>
      <c r="E32" s="288">
        <v>1.3049999999999999</v>
      </c>
      <c r="F32" s="287"/>
      <c r="G32" s="288">
        <v>1.3049999999999999</v>
      </c>
      <c r="H32" s="288">
        <v>0</v>
      </c>
      <c r="I32" s="288">
        <v>0</v>
      </c>
      <c r="J32" s="288">
        <v>0</v>
      </c>
      <c r="K32" s="288">
        <v>0</v>
      </c>
      <c r="L32" s="288">
        <v>0</v>
      </c>
      <c r="M32" s="288">
        <v>0</v>
      </c>
      <c r="N32" s="288">
        <v>0</v>
      </c>
      <c r="O32" t="b">
        <f t="shared" si="0"/>
        <v>0</v>
      </c>
    </row>
    <row r="33" spans="1:15">
      <c r="A33" s="287" t="s">
        <v>146</v>
      </c>
      <c r="B33" s="287" t="s">
        <v>175</v>
      </c>
      <c r="C33" s="287"/>
      <c r="D33" s="288">
        <v>0</v>
      </c>
      <c r="E33" s="288">
        <v>4.7490000000000006</v>
      </c>
      <c r="F33" s="287"/>
      <c r="G33" s="288">
        <v>4.7490000000000006</v>
      </c>
      <c r="H33" s="288">
        <v>4.4480000000000004</v>
      </c>
      <c r="I33" s="288">
        <v>1.45</v>
      </c>
      <c r="J33" s="288">
        <v>0</v>
      </c>
      <c r="K33" s="288">
        <v>0</v>
      </c>
      <c r="L33" s="288">
        <v>0</v>
      </c>
      <c r="M33" s="288">
        <v>0</v>
      </c>
      <c r="N33" s="288">
        <v>0</v>
      </c>
      <c r="O33" t="b">
        <f t="shared" si="0"/>
        <v>0</v>
      </c>
    </row>
    <row r="34" spans="1:15">
      <c r="A34" s="287" t="s">
        <v>146</v>
      </c>
      <c r="B34" s="287" t="s">
        <v>176</v>
      </c>
      <c r="C34" s="287"/>
      <c r="D34" s="288">
        <v>0</v>
      </c>
      <c r="E34" s="288">
        <v>0</v>
      </c>
      <c r="F34" s="287"/>
      <c r="G34" s="288"/>
      <c r="H34" s="288">
        <v>0</v>
      </c>
      <c r="I34" s="288">
        <v>0</v>
      </c>
      <c r="J34" s="288">
        <v>0</v>
      </c>
      <c r="K34" s="288">
        <v>0</v>
      </c>
      <c r="L34" s="288">
        <v>50</v>
      </c>
      <c r="M34" s="288">
        <v>50</v>
      </c>
      <c r="N34" s="288">
        <v>50</v>
      </c>
      <c r="O34" t="b">
        <f t="shared" si="0"/>
        <v>0</v>
      </c>
    </row>
    <row r="35" spans="1:15">
      <c r="A35" s="287" t="s">
        <v>146</v>
      </c>
      <c r="B35" s="287" t="s">
        <v>177</v>
      </c>
      <c r="C35" s="287"/>
      <c r="D35" s="288">
        <v>0</v>
      </c>
      <c r="E35" s="288">
        <v>0</v>
      </c>
      <c r="F35" s="287"/>
      <c r="G35" s="288"/>
      <c r="H35" s="288">
        <v>0</v>
      </c>
      <c r="I35" s="288">
        <v>0</v>
      </c>
      <c r="J35" s="288">
        <v>0</v>
      </c>
      <c r="K35" s="288">
        <v>0</v>
      </c>
      <c r="L35" s="288">
        <v>140</v>
      </c>
      <c r="M35" s="288">
        <v>150</v>
      </c>
      <c r="N35" s="288">
        <v>160</v>
      </c>
      <c r="O35" t="b">
        <f t="shared" si="0"/>
        <v>0</v>
      </c>
    </row>
    <row r="36" spans="1:15">
      <c r="A36" s="287" t="s">
        <v>156</v>
      </c>
      <c r="B36" s="287" t="s">
        <v>178</v>
      </c>
      <c r="C36" s="287"/>
      <c r="D36" s="288">
        <v>9</v>
      </c>
      <c r="E36" s="288">
        <v>10.1</v>
      </c>
      <c r="F36" s="287"/>
      <c r="G36" s="288">
        <v>10.1</v>
      </c>
      <c r="H36" s="288">
        <v>0</v>
      </c>
      <c r="I36" s="288">
        <v>0</v>
      </c>
      <c r="J36" s="288">
        <v>0</v>
      </c>
      <c r="K36" s="288">
        <v>0</v>
      </c>
      <c r="L36" s="288">
        <v>0</v>
      </c>
      <c r="M36" s="288">
        <v>0</v>
      </c>
      <c r="N36" s="288">
        <v>0</v>
      </c>
      <c r="O36" t="b">
        <f t="shared" si="0"/>
        <v>1</v>
      </c>
    </row>
    <row r="37" spans="1:15">
      <c r="A37" s="287" t="s">
        <v>146</v>
      </c>
      <c r="B37" s="287" t="s">
        <v>179</v>
      </c>
      <c r="C37" s="287"/>
      <c r="D37" s="288">
        <v>0.62426405000000007</v>
      </c>
      <c r="E37" s="288">
        <v>0</v>
      </c>
      <c r="F37" s="287"/>
      <c r="G37" s="288"/>
      <c r="H37" s="288">
        <v>0</v>
      </c>
      <c r="I37" s="288">
        <v>0</v>
      </c>
      <c r="J37" s="288">
        <v>0</v>
      </c>
      <c r="K37" s="288">
        <v>0</v>
      </c>
      <c r="L37" s="288">
        <v>0</v>
      </c>
      <c r="M37" s="288">
        <v>0</v>
      </c>
      <c r="N37" s="288">
        <v>0</v>
      </c>
      <c r="O37" t="b">
        <f t="shared" si="0"/>
        <v>0</v>
      </c>
    </row>
    <row r="38" spans="1:15">
      <c r="A38" s="287" t="s">
        <v>146</v>
      </c>
      <c r="B38" s="287" t="s">
        <v>180</v>
      </c>
      <c r="C38" s="287"/>
      <c r="D38" s="288">
        <v>0.04</v>
      </c>
      <c r="E38" s="288">
        <v>0</v>
      </c>
      <c r="F38" s="287"/>
      <c r="G38" s="288"/>
      <c r="H38" s="288">
        <v>0</v>
      </c>
      <c r="I38" s="288">
        <v>0</v>
      </c>
      <c r="J38" s="288">
        <v>0</v>
      </c>
      <c r="K38" s="288">
        <v>0</v>
      </c>
      <c r="L38" s="288">
        <v>0</v>
      </c>
      <c r="M38" s="288">
        <v>0</v>
      </c>
      <c r="N38" s="288">
        <v>0</v>
      </c>
      <c r="O38" t="b">
        <f t="shared" si="0"/>
        <v>0</v>
      </c>
    </row>
    <row r="39" spans="1:15">
      <c r="A39" s="287" t="s">
        <v>146</v>
      </c>
      <c r="B39" s="287" t="s">
        <v>181</v>
      </c>
      <c r="C39" s="287"/>
      <c r="D39" s="288">
        <v>1.39676373</v>
      </c>
      <c r="E39" s="288">
        <v>0</v>
      </c>
      <c r="F39" s="287"/>
      <c r="G39" s="288"/>
      <c r="H39" s="288">
        <v>0</v>
      </c>
      <c r="I39" s="288">
        <v>0</v>
      </c>
      <c r="J39" s="288">
        <v>0</v>
      </c>
      <c r="K39" s="288">
        <v>0</v>
      </c>
      <c r="L39" s="288">
        <v>0</v>
      </c>
      <c r="M39" s="288">
        <v>0</v>
      </c>
      <c r="N39" s="288">
        <v>0</v>
      </c>
      <c r="O39" t="b">
        <f t="shared" si="0"/>
        <v>0</v>
      </c>
    </row>
    <row r="40" spans="1:15">
      <c r="A40" s="287" t="s">
        <v>146</v>
      </c>
      <c r="B40" s="287" t="s">
        <v>182</v>
      </c>
      <c r="C40" s="287" t="s">
        <v>183</v>
      </c>
      <c r="D40" s="288">
        <v>0.95165275999999999</v>
      </c>
      <c r="E40" s="288">
        <v>5.298</v>
      </c>
      <c r="F40" s="287"/>
      <c r="G40" s="288">
        <v>5.298</v>
      </c>
      <c r="H40" s="288">
        <v>2.5</v>
      </c>
      <c r="I40" s="288">
        <v>2.5</v>
      </c>
      <c r="J40" s="288">
        <v>0</v>
      </c>
      <c r="K40" s="288">
        <v>0</v>
      </c>
      <c r="L40" s="288">
        <v>0</v>
      </c>
      <c r="M40" s="288">
        <v>0</v>
      </c>
      <c r="N40" s="288">
        <v>0</v>
      </c>
      <c r="O40" t="b">
        <f t="shared" si="0"/>
        <v>0</v>
      </c>
    </row>
    <row r="41" spans="1:15">
      <c r="A41" s="287" t="s">
        <v>146</v>
      </c>
      <c r="B41" s="287" t="s">
        <v>184</v>
      </c>
      <c r="C41" s="287"/>
      <c r="D41" s="288">
        <v>4.9599999999999998E-2</v>
      </c>
      <c r="E41" s="288">
        <v>0.44600000000000001</v>
      </c>
      <c r="F41" s="287"/>
      <c r="G41" s="288">
        <v>0.44600000000000001</v>
      </c>
      <c r="H41" s="288">
        <v>0</v>
      </c>
      <c r="I41" s="288">
        <v>0</v>
      </c>
      <c r="J41" s="288">
        <v>0</v>
      </c>
      <c r="K41" s="288">
        <v>0</v>
      </c>
      <c r="L41" s="288">
        <v>0</v>
      </c>
      <c r="M41" s="288">
        <v>0</v>
      </c>
      <c r="N41" s="288">
        <v>0</v>
      </c>
      <c r="O41" t="b">
        <f t="shared" si="0"/>
        <v>0</v>
      </c>
    </row>
    <row r="42" spans="1:15">
      <c r="A42" s="287" t="s">
        <v>146</v>
      </c>
      <c r="B42" s="287" t="s">
        <v>185</v>
      </c>
      <c r="C42" s="287"/>
      <c r="D42" s="288">
        <v>4.02E-2</v>
      </c>
      <c r="E42" s="288">
        <v>0</v>
      </c>
      <c r="F42" s="287"/>
      <c r="G42" s="288"/>
      <c r="H42" s="288">
        <v>0</v>
      </c>
      <c r="I42" s="288">
        <v>0</v>
      </c>
      <c r="J42" s="288">
        <v>0</v>
      </c>
      <c r="K42" s="288">
        <v>0</v>
      </c>
      <c r="L42" s="288">
        <v>0</v>
      </c>
      <c r="M42" s="288">
        <v>0</v>
      </c>
      <c r="N42" s="288">
        <v>0</v>
      </c>
      <c r="O42" t="b">
        <f t="shared" si="0"/>
        <v>0</v>
      </c>
    </row>
    <row r="43" spans="1:15">
      <c r="A43" s="287" t="s">
        <v>146</v>
      </c>
      <c r="B43" s="287" t="s">
        <v>186</v>
      </c>
      <c r="C43" s="287"/>
      <c r="D43" s="288">
        <v>0.13519</v>
      </c>
      <c r="E43" s="288">
        <v>0</v>
      </c>
      <c r="F43" s="287"/>
      <c r="G43" s="288"/>
      <c r="H43" s="288">
        <v>0</v>
      </c>
      <c r="I43" s="288">
        <v>0</v>
      </c>
      <c r="J43" s="288">
        <v>0</v>
      </c>
      <c r="K43" s="288">
        <v>0</v>
      </c>
      <c r="L43" s="288">
        <v>0</v>
      </c>
      <c r="M43" s="288">
        <v>0</v>
      </c>
      <c r="N43" s="288">
        <v>0</v>
      </c>
      <c r="O43" t="b">
        <f t="shared" si="0"/>
        <v>0</v>
      </c>
    </row>
    <row r="44" spans="1:15">
      <c r="A44" s="287" t="s">
        <v>146</v>
      </c>
      <c r="B44" s="287" t="s">
        <v>187</v>
      </c>
      <c r="C44" s="287"/>
      <c r="D44" s="288">
        <v>0.44600000000000001</v>
      </c>
      <c r="E44" s="288">
        <v>0</v>
      </c>
      <c r="F44" s="287"/>
      <c r="G44" s="288"/>
      <c r="H44" s="288">
        <v>0</v>
      </c>
      <c r="I44" s="288">
        <v>0</v>
      </c>
      <c r="J44" s="288">
        <v>0</v>
      </c>
      <c r="K44" s="288">
        <v>0</v>
      </c>
      <c r="L44" s="288">
        <v>0</v>
      </c>
      <c r="M44" s="288">
        <v>0</v>
      </c>
      <c r="N44" s="288">
        <v>0</v>
      </c>
      <c r="O44" t="b">
        <f t="shared" si="0"/>
        <v>0</v>
      </c>
    </row>
    <row r="45" spans="1:15">
      <c r="A45" s="287" t="s">
        <v>146</v>
      </c>
      <c r="B45" s="287" t="s">
        <v>188</v>
      </c>
      <c r="C45" s="287"/>
      <c r="D45" s="288">
        <v>0.126</v>
      </c>
      <c r="E45" s="288">
        <v>1.5580000000000001</v>
      </c>
      <c r="F45" s="287"/>
      <c r="G45" s="288">
        <v>1.5580000000000001</v>
      </c>
      <c r="H45" s="288">
        <v>0</v>
      </c>
      <c r="I45" s="288">
        <v>0</v>
      </c>
      <c r="J45" s="288">
        <v>0</v>
      </c>
      <c r="K45" s="288">
        <v>0</v>
      </c>
      <c r="L45" s="288">
        <v>0</v>
      </c>
      <c r="M45" s="288">
        <v>0</v>
      </c>
      <c r="N45" s="288">
        <v>0</v>
      </c>
      <c r="O45" t="b">
        <f t="shared" si="0"/>
        <v>0</v>
      </c>
    </row>
    <row r="46" spans="1:15">
      <c r="A46" s="287" t="s">
        <v>146</v>
      </c>
      <c r="B46" s="287" t="s">
        <v>189</v>
      </c>
      <c r="C46" s="287"/>
      <c r="D46" s="288">
        <v>0</v>
      </c>
      <c r="E46" s="288">
        <v>0.3</v>
      </c>
      <c r="F46" s="287"/>
      <c r="G46" s="288">
        <v>0</v>
      </c>
      <c r="H46" s="288">
        <v>0.35</v>
      </c>
      <c r="I46" s="288">
        <v>0.35</v>
      </c>
      <c r="J46" s="288">
        <v>0</v>
      </c>
      <c r="K46" s="288">
        <v>0</v>
      </c>
      <c r="L46" s="288">
        <v>0</v>
      </c>
      <c r="M46" s="288">
        <v>0</v>
      </c>
      <c r="N46" s="288">
        <v>0</v>
      </c>
      <c r="O46" t="b">
        <f t="shared" si="0"/>
        <v>0</v>
      </c>
    </row>
    <row r="47" spans="1:15">
      <c r="A47" s="287" t="s">
        <v>146</v>
      </c>
      <c r="B47" s="287" t="s">
        <v>190</v>
      </c>
      <c r="C47" s="287"/>
      <c r="D47" s="288">
        <v>0.3</v>
      </c>
      <c r="E47" s="288">
        <v>0</v>
      </c>
      <c r="F47" s="287"/>
      <c r="G47" s="288"/>
      <c r="H47" s="288">
        <v>0</v>
      </c>
      <c r="I47" s="288">
        <v>0</v>
      </c>
      <c r="J47" s="288">
        <v>0</v>
      </c>
      <c r="K47" s="288">
        <v>0</v>
      </c>
      <c r="L47" s="288">
        <v>0</v>
      </c>
      <c r="M47" s="288">
        <v>0</v>
      </c>
      <c r="N47" s="288">
        <v>0</v>
      </c>
      <c r="O47" t="b">
        <f t="shared" si="0"/>
        <v>0</v>
      </c>
    </row>
    <row r="48" spans="1:15">
      <c r="A48" s="287" t="s">
        <v>146</v>
      </c>
      <c r="B48" s="287" t="s">
        <v>191</v>
      </c>
      <c r="C48" s="287"/>
      <c r="D48" s="288">
        <v>0</v>
      </c>
      <c r="E48" s="288">
        <v>0</v>
      </c>
      <c r="F48" s="287"/>
      <c r="G48" s="288"/>
      <c r="H48" s="288">
        <v>0.5</v>
      </c>
      <c r="I48" s="288">
        <v>0.5</v>
      </c>
      <c r="J48" s="288">
        <v>0</v>
      </c>
      <c r="K48" s="288">
        <v>0</v>
      </c>
      <c r="L48" s="288">
        <v>0</v>
      </c>
      <c r="M48" s="288">
        <v>0</v>
      </c>
      <c r="N48" s="288">
        <v>0</v>
      </c>
      <c r="O48" t="b">
        <f t="shared" si="0"/>
        <v>0</v>
      </c>
    </row>
    <row r="49" spans="1:15">
      <c r="A49" s="287" t="s">
        <v>146</v>
      </c>
      <c r="B49" s="287" t="s">
        <v>192</v>
      </c>
      <c r="C49" s="287"/>
      <c r="D49" s="288">
        <v>0</v>
      </c>
      <c r="E49" s="288">
        <v>0</v>
      </c>
      <c r="F49" s="287"/>
      <c r="G49" s="288"/>
      <c r="H49" s="288">
        <v>0</v>
      </c>
      <c r="I49" s="288">
        <v>0</v>
      </c>
      <c r="J49" s="288">
        <v>0</v>
      </c>
      <c r="K49" s="288">
        <v>0</v>
      </c>
      <c r="L49" s="288">
        <v>100</v>
      </c>
      <c r="M49" s="288">
        <v>100</v>
      </c>
      <c r="N49" s="288">
        <v>100</v>
      </c>
      <c r="O49" t="b">
        <f t="shared" si="0"/>
        <v>0</v>
      </c>
    </row>
    <row r="50" spans="1:15">
      <c r="A50" s="287" t="s">
        <v>146</v>
      </c>
      <c r="B50" s="287" t="s">
        <v>193</v>
      </c>
      <c r="C50" s="287"/>
      <c r="D50" s="288">
        <v>0</v>
      </c>
      <c r="E50" s="288">
        <v>0</v>
      </c>
      <c r="F50" s="287"/>
      <c r="G50" s="288"/>
      <c r="H50" s="288">
        <v>0</v>
      </c>
      <c r="I50" s="288">
        <v>0</v>
      </c>
      <c r="J50" s="288">
        <v>0</v>
      </c>
      <c r="K50" s="288">
        <v>0</v>
      </c>
      <c r="L50" s="288">
        <v>10</v>
      </c>
      <c r="M50" s="288">
        <v>10</v>
      </c>
      <c r="N50" s="288">
        <v>10</v>
      </c>
      <c r="O50" t="b">
        <f t="shared" si="0"/>
        <v>0</v>
      </c>
    </row>
    <row r="51" spans="1:15">
      <c r="A51" s="287" t="s">
        <v>146</v>
      </c>
      <c r="B51" s="287" t="s">
        <v>194</v>
      </c>
      <c r="C51" s="287"/>
      <c r="D51" s="288">
        <v>0</v>
      </c>
      <c r="E51" s="288">
        <v>0</v>
      </c>
      <c r="F51" s="287"/>
      <c r="G51" s="288"/>
      <c r="H51" s="288">
        <v>0</v>
      </c>
      <c r="I51" s="288">
        <v>0</v>
      </c>
      <c r="J51" s="288">
        <v>0</v>
      </c>
      <c r="K51" s="288">
        <v>0</v>
      </c>
      <c r="L51" s="288">
        <v>13</v>
      </c>
      <c r="M51" s="288">
        <v>18</v>
      </c>
      <c r="N51" s="288">
        <v>15</v>
      </c>
      <c r="O51" t="b">
        <f t="shared" si="0"/>
        <v>0</v>
      </c>
    </row>
    <row r="52" spans="1:15">
      <c r="A52" s="287" t="s">
        <v>146</v>
      </c>
      <c r="B52" s="287" t="s">
        <v>195</v>
      </c>
      <c r="C52" s="287"/>
      <c r="D52" s="288">
        <v>0</v>
      </c>
      <c r="E52" s="288">
        <v>0</v>
      </c>
      <c r="F52" s="287"/>
      <c r="G52" s="288"/>
      <c r="H52" s="288">
        <v>0</v>
      </c>
      <c r="I52" s="288">
        <v>0</v>
      </c>
      <c r="J52" s="288">
        <v>0</v>
      </c>
      <c r="K52" s="288">
        <v>0</v>
      </c>
      <c r="L52" s="288">
        <v>25</v>
      </c>
      <c r="M52" s="288">
        <v>25</v>
      </c>
      <c r="N52" s="288">
        <v>25</v>
      </c>
      <c r="O52" t="b">
        <f t="shared" si="0"/>
        <v>0</v>
      </c>
    </row>
    <row r="53" spans="1:15">
      <c r="A53" s="287" t="s">
        <v>146</v>
      </c>
      <c r="B53" s="287" t="s">
        <v>196</v>
      </c>
      <c r="C53" s="287"/>
      <c r="D53" s="288">
        <v>0</v>
      </c>
      <c r="E53" s="288">
        <v>0</v>
      </c>
      <c r="F53" s="287"/>
      <c r="G53" s="288"/>
      <c r="H53" s="288">
        <v>0</v>
      </c>
      <c r="I53" s="288">
        <v>0</v>
      </c>
      <c r="J53" s="288">
        <v>0</v>
      </c>
      <c r="K53" s="288">
        <v>0</v>
      </c>
      <c r="L53" s="288">
        <v>7</v>
      </c>
      <c r="M53" s="288">
        <v>8</v>
      </c>
      <c r="N53" s="288">
        <v>15</v>
      </c>
      <c r="O53" t="b">
        <f t="shared" si="0"/>
        <v>0</v>
      </c>
    </row>
    <row r="54" spans="1:15">
      <c r="A54" s="287" t="s">
        <v>146</v>
      </c>
      <c r="B54" s="287" t="s">
        <v>197</v>
      </c>
      <c r="C54" s="287"/>
      <c r="D54" s="288">
        <v>0</v>
      </c>
      <c r="E54" s="288">
        <v>0</v>
      </c>
      <c r="F54" s="287"/>
      <c r="G54" s="288"/>
      <c r="H54" s="288">
        <v>0</v>
      </c>
      <c r="I54" s="288">
        <v>0</v>
      </c>
      <c r="J54" s="288">
        <v>0</v>
      </c>
      <c r="K54" s="288">
        <v>0</v>
      </c>
      <c r="L54" s="288">
        <v>20</v>
      </c>
      <c r="M54" s="288">
        <v>12</v>
      </c>
      <c r="N54" s="288">
        <v>12</v>
      </c>
      <c r="O54" t="b">
        <f t="shared" si="0"/>
        <v>0</v>
      </c>
    </row>
    <row r="55" spans="1:15">
      <c r="A55" s="287" t="s">
        <v>146</v>
      </c>
      <c r="B55" s="287" t="s">
        <v>198</v>
      </c>
      <c r="C55" s="287"/>
      <c r="D55" s="288">
        <v>0</v>
      </c>
      <c r="E55" s="288">
        <v>0</v>
      </c>
      <c r="F55" s="287"/>
      <c r="G55" s="288"/>
      <c r="H55" s="288">
        <v>0</v>
      </c>
      <c r="I55" s="288">
        <v>0</v>
      </c>
      <c r="J55" s="288">
        <v>0</v>
      </c>
      <c r="K55" s="288">
        <v>0</v>
      </c>
      <c r="L55" s="288">
        <v>2.75</v>
      </c>
      <c r="M55" s="288">
        <v>2.75</v>
      </c>
      <c r="N55" s="288">
        <v>2.75</v>
      </c>
      <c r="O55" t="b">
        <f t="shared" si="0"/>
        <v>0</v>
      </c>
    </row>
    <row r="56" spans="1:15">
      <c r="A56" s="287" t="s">
        <v>146</v>
      </c>
      <c r="B56" s="287" t="s">
        <v>199</v>
      </c>
      <c r="C56" s="287"/>
      <c r="D56" s="288">
        <v>0</v>
      </c>
      <c r="E56" s="288">
        <v>0</v>
      </c>
      <c r="F56" s="287"/>
      <c r="G56" s="288"/>
      <c r="H56" s="288">
        <v>0</v>
      </c>
      <c r="I56" s="288">
        <v>0</v>
      </c>
      <c r="J56" s="288">
        <v>0</v>
      </c>
      <c r="K56" s="288">
        <v>0</v>
      </c>
      <c r="L56" s="288">
        <v>20</v>
      </c>
      <c r="M56" s="288">
        <v>10</v>
      </c>
      <c r="N56" s="288">
        <v>5.25</v>
      </c>
      <c r="O56" t="b">
        <f t="shared" si="0"/>
        <v>0</v>
      </c>
    </row>
    <row r="57" spans="1:15">
      <c r="A57" s="287" t="s">
        <v>146</v>
      </c>
      <c r="B57" s="287" t="s">
        <v>200</v>
      </c>
      <c r="C57" s="287"/>
      <c r="D57" s="288">
        <v>0.20302387</v>
      </c>
      <c r="E57" s="288">
        <v>1.5840000000000001</v>
      </c>
      <c r="F57" s="287"/>
      <c r="G57" s="288">
        <v>1.5840000000000001</v>
      </c>
      <c r="H57" s="288">
        <v>0</v>
      </c>
      <c r="I57" s="288">
        <v>0</v>
      </c>
      <c r="J57" s="288">
        <v>0</v>
      </c>
      <c r="K57" s="288">
        <v>0</v>
      </c>
      <c r="L57" s="288">
        <v>0</v>
      </c>
      <c r="M57" s="288">
        <v>0</v>
      </c>
      <c r="N57" s="288">
        <v>0</v>
      </c>
      <c r="O57" t="b">
        <f t="shared" si="0"/>
        <v>0</v>
      </c>
    </row>
    <row r="58" spans="1:15">
      <c r="A58" s="287" t="s">
        <v>146</v>
      </c>
      <c r="B58" s="287" t="s">
        <v>201</v>
      </c>
      <c r="C58" s="287"/>
      <c r="D58" s="288">
        <v>0.29799999999999999</v>
      </c>
      <c r="E58" s="288">
        <v>9.1479999999999997</v>
      </c>
      <c r="F58" s="287"/>
      <c r="G58" s="288">
        <v>6.9880000000000004</v>
      </c>
      <c r="H58" s="288">
        <v>0</v>
      </c>
      <c r="I58" s="288">
        <v>0</v>
      </c>
      <c r="J58" s="288">
        <v>0</v>
      </c>
      <c r="K58" s="288">
        <v>0</v>
      </c>
      <c r="L58" s="288">
        <v>0</v>
      </c>
      <c r="M58" s="288">
        <v>0</v>
      </c>
      <c r="N58" s="288">
        <v>0</v>
      </c>
      <c r="O58" t="b">
        <f t="shared" si="0"/>
        <v>0</v>
      </c>
    </row>
    <row r="59" spans="1:15">
      <c r="A59" s="287" t="s">
        <v>146</v>
      </c>
      <c r="B59" s="287" t="s">
        <v>56</v>
      </c>
      <c r="C59" s="287"/>
      <c r="D59" s="288">
        <v>0.53216420999999992</v>
      </c>
      <c r="E59" s="288">
        <v>0.5</v>
      </c>
      <c r="F59" s="287"/>
      <c r="G59" s="288">
        <v>0.5</v>
      </c>
      <c r="H59" s="288">
        <v>0.5</v>
      </c>
      <c r="I59" s="288">
        <v>0.5</v>
      </c>
      <c r="J59" s="288">
        <v>0.5</v>
      </c>
      <c r="K59" s="288">
        <v>0.5</v>
      </c>
      <c r="L59" s="288">
        <v>2.5</v>
      </c>
      <c r="M59" s="288">
        <v>2.5</v>
      </c>
      <c r="N59" s="288">
        <v>2.5</v>
      </c>
      <c r="O59" t="b">
        <f t="shared" si="0"/>
        <v>0</v>
      </c>
    </row>
    <row r="60" spans="1:15">
      <c r="A60" s="287" t="s">
        <v>146</v>
      </c>
      <c r="B60" s="287" t="s">
        <v>19</v>
      </c>
      <c r="C60" s="287"/>
      <c r="D60" s="288">
        <v>0.49017149999999998</v>
      </c>
      <c r="E60" s="288">
        <v>1.609</v>
      </c>
      <c r="F60" s="287"/>
      <c r="G60" s="288">
        <v>1.609</v>
      </c>
      <c r="H60" s="288">
        <v>0.05</v>
      </c>
      <c r="I60" s="288">
        <v>0</v>
      </c>
      <c r="J60" s="288">
        <v>0</v>
      </c>
      <c r="K60" s="288">
        <v>0</v>
      </c>
      <c r="L60" s="288">
        <v>0</v>
      </c>
      <c r="M60" s="288">
        <v>0</v>
      </c>
      <c r="N60" s="288">
        <v>0</v>
      </c>
      <c r="O60" t="b">
        <f t="shared" si="0"/>
        <v>0</v>
      </c>
    </row>
    <row r="61" spans="1:15">
      <c r="A61" s="287" t="s">
        <v>146</v>
      </c>
      <c r="B61" s="287" t="s">
        <v>202</v>
      </c>
      <c r="C61" s="287" t="s">
        <v>183</v>
      </c>
      <c r="D61" s="288">
        <v>1.9999990000000002E-2</v>
      </c>
      <c r="E61" s="288">
        <v>1.0790000000000002</v>
      </c>
      <c r="F61" s="287"/>
      <c r="G61" s="288">
        <v>1.0790000000000002</v>
      </c>
      <c r="H61" s="288">
        <v>0.4</v>
      </c>
      <c r="I61" s="288">
        <v>0.4</v>
      </c>
      <c r="J61" s="288">
        <v>0.4</v>
      </c>
      <c r="K61" s="288">
        <v>0.4</v>
      </c>
      <c r="L61" s="288">
        <v>2</v>
      </c>
      <c r="M61" s="288">
        <v>2</v>
      </c>
      <c r="N61" s="288">
        <v>2</v>
      </c>
      <c r="O61" t="b">
        <f t="shared" si="0"/>
        <v>0</v>
      </c>
    </row>
    <row r="62" spans="1:15">
      <c r="A62" s="287" t="s">
        <v>146</v>
      </c>
      <c r="B62" s="287" t="s">
        <v>203</v>
      </c>
      <c r="C62" s="287" t="s">
        <v>183</v>
      </c>
      <c r="D62" s="288">
        <v>0</v>
      </c>
      <c r="E62" s="288">
        <v>0.05</v>
      </c>
      <c r="F62" s="287"/>
      <c r="G62" s="288">
        <v>0</v>
      </c>
      <c r="H62" s="288">
        <v>0.1</v>
      </c>
      <c r="I62" s="288">
        <v>0.05</v>
      </c>
      <c r="J62" s="288">
        <v>0.1</v>
      </c>
      <c r="K62" s="288">
        <v>0.05</v>
      </c>
      <c r="L62" s="288">
        <v>0.25</v>
      </c>
      <c r="M62" s="288">
        <v>0.25</v>
      </c>
      <c r="N62" s="288">
        <v>0.25</v>
      </c>
      <c r="O62" t="b">
        <f t="shared" si="0"/>
        <v>0</v>
      </c>
    </row>
    <row r="63" spans="1:15">
      <c r="A63" s="287" t="s">
        <v>146</v>
      </c>
      <c r="B63" s="287" t="s">
        <v>204</v>
      </c>
      <c r="C63" s="287"/>
      <c r="D63" s="288">
        <v>0</v>
      </c>
      <c r="E63" s="288">
        <v>10</v>
      </c>
      <c r="F63" s="287"/>
      <c r="G63" s="288">
        <v>1</v>
      </c>
      <c r="H63" s="288">
        <v>0</v>
      </c>
      <c r="I63" s="288">
        <v>0</v>
      </c>
      <c r="J63" s="288">
        <v>0</v>
      </c>
      <c r="K63" s="288">
        <v>0</v>
      </c>
      <c r="L63" s="288">
        <v>0</v>
      </c>
      <c r="M63" s="288">
        <v>0</v>
      </c>
      <c r="N63" s="288">
        <v>0</v>
      </c>
      <c r="O63" t="b">
        <f t="shared" si="0"/>
        <v>0</v>
      </c>
    </row>
    <row r="64" spans="1:15">
      <c r="A64" s="287" t="s">
        <v>146</v>
      </c>
      <c r="B64" s="287" t="s">
        <v>205</v>
      </c>
      <c r="C64" s="287"/>
      <c r="D64" s="288">
        <v>0</v>
      </c>
      <c r="E64" s="288">
        <v>0</v>
      </c>
      <c r="F64" s="287"/>
      <c r="G64" s="288"/>
      <c r="H64" s="288">
        <v>0.25</v>
      </c>
      <c r="I64" s="288">
        <v>0</v>
      </c>
      <c r="J64" s="288">
        <v>0</v>
      </c>
      <c r="K64" s="288">
        <v>0</v>
      </c>
      <c r="L64" s="288">
        <v>0</v>
      </c>
      <c r="M64" s="288">
        <v>0</v>
      </c>
      <c r="N64" s="288">
        <v>0</v>
      </c>
      <c r="O64" t="b">
        <f t="shared" si="0"/>
        <v>0</v>
      </c>
    </row>
    <row r="65" spans="1:15">
      <c r="A65" s="287" t="s">
        <v>146</v>
      </c>
      <c r="B65" s="287" t="s">
        <v>206</v>
      </c>
      <c r="C65" s="287"/>
      <c r="D65" s="288">
        <v>0.58989155000000004</v>
      </c>
      <c r="E65" s="288">
        <v>0.30000000000000004</v>
      </c>
      <c r="F65" s="287"/>
      <c r="G65" s="288">
        <v>0.30000000000000004</v>
      </c>
      <c r="H65" s="288">
        <v>0</v>
      </c>
      <c r="I65" s="288">
        <v>0</v>
      </c>
      <c r="J65" s="288">
        <v>0</v>
      </c>
      <c r="K65" s="288">
        <v>0</v>
      </c>
      <c r="L65" s="288">
        <v>0</v>
      </c>
      <c r="M65" s="288">
        <v>0</v>
      </c>
      <c r="N65" s="288">
        <v>0</v>
      </c>
      <c r="O65" t="b">
        <f t="shared" si="0"/>
        <v>0</v>
      </c>
    </row>
    <row r="66" spans="1:15">
      <c r="A66" s="287" t="s">
        <v>146</v>
      </c>
      <c r="B66" s="287" t="s">
        <v>13</v>
      </c>
      <c r="C66" s="287"/>
      <c r="D66" s="288">
        <v>0.23487660999999999</v>
      </c>
      <c r="E66" s="288">
        <v>5.3650000000000002</v>
      </c>
      <c r="F66" s="287"/>
      <c r="G66" s="288">
        <v>5.3650000000000002</v>
      </c>
      <c r="H66" s="288">
        <v>0</v>
      </c>
      <c r="I66" s="288">
        <v>0</v>
      </c>
      <c r="J66" s="288">
        <v>0</v>
      </c>
      <c r="K66" s="288">
        <v>0</v>
      </c>
      <c r="L66" s="288">
        <v>0</v>
      </c>
      <c r="M66" s="288">
        <v>0</v>
      </c>
      <c r="N66" s="288">
        <v>0</v>
      </c>
      <c r="O66" t="b">
        <f t="shared" si="0"/>
        <v>0</v>
      </c>
    </row>
    <row r="67" spans="1:15">
      <c r="A67" s="287" t="s">
        <v>146</v>
      </c>
      <c r="B67" s="287" t="s">
        <v>207</v>
      </c>
      <c r="C67" s="287"/>
      <c r="D67" s="288">
        <v>1</v>
      </c>
      <c r="E67" s="288">
        <v>0</v>
      </c>
      <c r="F67" s="287"/>
      <c r="G67" s="288"/>
      <c r="H67" s="288">
        <v>0</v>
      </c>
      <c r="I67" s="288">
        <v>0</v>
      </c>
      <c r="J67" s="288">
        <v>0</v>
      </c>
      <c r="K67" s="288">
        <v>0</v>
      </c>
      <c r="L67" s="288">
        <v>0</v>
      </c>
      <c r="M67" s="288">
        <v>0</v>
      </c>
      <c r="N67" s="288">
        <v>0</v>
      </c>
      <c r="O67" t="b">
        <f t="shared" si="0"/>
        <v>0</v>
      </c>
    </row>
    <row r="68" spans="1:15">
      <c r="A68" s="287" t="s">
        <v>146</v>
      </c>
      <c r="B68" s="287" t="s">
        <v>208</v>
      </c>
      <c r="C68" s="287"/>
      <c r="D68" s="288">
        <v>0</v>
      </c>
      <c r="E68" s="288">
        <v>0</v>
      </c>
      <c r="F68" s="287"/>
      <c r="G68" s="288"/>
      <c r="H68" s="288">
        <v>5</v>
      </c>
      <c r="I68" s="288">
        <v>0</v>
      </c>
      <c r="J68" s="288">
        <v>0</v>
      </c>
      <c r="K68" s="288">
        <v>0</v>
      </c>
      <c r="L68" s="288">
        <v>0</v>
      </c>
      <c r="M68" s="288">
        <v>0</v>
      </c>
      <c r="N68" s="288">
        <v>0</v>
      </c>
      <c r="O68" t="b">
        <f t="shared" si="0"/>
        <v>0</v>
      </c>
    </row>
    <row r="69" spans="1:15">
      <c r="A69" s="287" t="s">
        <v>146</v>
      </c>
      <c r="B69" s="287" t="s">
        <v>209</v>
      </c>
      <c r="C69" s="287"/>
      <c r="D69" s="288">
        <v>0</v>
      </c>
      <c r="E69" s="288">
        <v>0.13</v>
      </c>
      <c r="F69" s="287"/>
      <c r="G69" s="288">
        <v>0.13</v>
      </c>
      <c r="H69" s="288">
        <v>0.47</v>
      </c>
      <c r="I69" s="288">
        <v>0</v>
      </c>
      <c r="J69" s="288">
        <v>0</v>
      </c>
      <c r="K69" s="288">
        <v>0</v>
      </c>
      <c r="L69" s="288">
        <v>0</v>
      </c>
      <c r="M69" s="288">
        <v>0</v>
      </c>
      <c r="N69" s="288">
        <v>0</v>
      </c>
      <c r="O69" t="b">
        <f t="shared" si="0"/>
        <v>0</v>
      </c>
    </row>
    <row r="70" spans="1:15">
      <c r="A70" s="287" t="s">
        <v>146</v>
      </c>
      <c r="B70" s="287" t="s">
        <v>210</v>
      </c>
      <c r="C70" s="287"/>
      <c r="D70" s="288">
        <v>0.90812553000000007</v>
      </c>
      <c r="E70" s="288">
        <v>2.5</v>
      </c>
      <c r="F70" s="287"/>
      <c r="G70" s="288">
        <v>2.5</v>
      </c>
      <c r="H70" s="288">
        <v>1</v>
      </c>
      <c r="I70" s="288">
        <v>0.5</v>
      </c>
      <c r="J70" s="288">
        <v>0.5</v>
      </c>
      <c r="K70" s="288">
        <v>0.5</v>
      </c>
      <c r="L70" s="288">
        <v>2</v>
      </c>
      <c r="M70" s="288">
        <v>1.95</v>
      </c>
      <c r="N70" s="288">
        <v>1.85</v>
      </c>
      <c r="O70" t="b">
        <f t="shared" ref="O70:O89" si="1">OR(G70&gt;10,H70&gt;10,I70&gt;10,J70&gt;10,K70&gt;10)</f>
        <v>0</v>
      </c>
    </row>
    <row r="71" spans="1:15">
      <c r="A71" s="287" t="s">
        <v>146</v>
      </c>
      <c r="B71" s="287" t="s">
        <v>211</v>
      </c>
      <c r="C71" s="287"/>
      <c r="D71" s="288">
        <v>0.20929879999999998</v>
      </c>
      <c r="E71" s="288">
        <v>1</v>
      </c>
      <c r="F71" s="287"/>
      <c r="G71" s="288">
        <v>1</v>
      </c>
      <c r="H71" s="288">
        <v>1.5</v>
      </c>
      <c r="I71" s="288">
        <v>0.5</v>
      </c>
      <c r="J71" s="288">
        <v>0.5</v>
      </c>
      <c r="K71" s="288">
        <v>0.5</v>
      </c>
      <c r="L71" s="288">
        <v>2</v>
      </c>
      <c r="M71" s="288">
        <v>2</v>
      </c>
      <c r="N71" s="288">
        <v>2</v>
      </c>
      <c r="O71" t="b">
        <f t="shared" si="1"/>
        <v>0</v>
      </c>
    </row>
    <row r="72" spans="1:15">
      <c r="A72" s="287" t="s">
        <v>146</v>
      </c>
      <c r="B72" s="287" t="s">
        <v>212</v>
      </c>
      <c r="C72" s="287"/>
      <c r="D72" s="288">
        <v>1.38283998</v>
      </c>
      <c r="E72" s="288">
        <v>1.25</v>
      </c>
      <c r="F72" s="287"/>
      <c r="G72" s="288">
        <v>1.5</v>
      </c>
      <c r="H72" s="288">
        <v>0</v>
      </c>
      <c r="I72" s="288">
        <v>0</v>
      </c>
      <c r="J72" s="288">
        <v>0</v>
      </c>
      <c r="K72" s="288">
        <v>0</v>
      </c>
      <c r="L72" s="288">
        <v>0</v>
      </c>
      <c r="M72" s="288">
        <v>0</v>
      </c>
      <c r="N72" s="288">
        <v>0</v>
      </c>
      <c r="O72" t="b">
        <f t="shared" si="1"/>
        <v>0</v>
      </c>
    </row>
    <row r="73" spans="1:15">
      <c r="A73" s="287" t="s">
        <v>146</v>
      </c>
      <c r="B73" s="287" t="s">
        <v>213</v>
      </c>
      <c r="C73" s="287"/>
      <c r="D73" s="288">
        <v>0.25429526000000002</v>
      </c>
      <c r="E73" s="288">
        <v>0.25</v>
      </c>
      <c r="F73" s="287"/>
      <c r="G73" s="288">
        <v>0.25</v>
      </c>
      <c r="H73" s="288">
        <v>0.5</v>
      </c>
      <c r="I73" s="288">
        <v>0.5</v>
      </c>
      <c r="J73" s="288">
        <v>1.2070000000000001</v>
      </c>
      <c r="K73" s="288">
        <v>0.5</v>
      </c>
      <c r="L73" s="288">
        <v>4.5</v>
      </c>
      <c r="M73" s="288">
        <v>5</v>
      </c>
      <c r="N73" s="288">
        <v>5</v>
      </c>
      <c r="O73" t="b">
        <f t="shared" si="1"/>
        <v>0</v>
      </c>
    </row>
    <row r="74" spans="1:15">
      <c r="A74" s="287" t="s">
        <v>146</v>
      </c>
      <c r="B74" s="287" t="s">
        <v>214</v>
      </c>
      <c r="C74" s="287"/>
      <c r="D74" s="288">
        <v>0</v>
      </c>
      <c r="E74" s="288">
        <v>0.125</v>
      </c>
      <c r="F74" s="287"/>
      <c r="G74" s="288">
        <v>0.13</v>
      </c>
      <c r="H74" s="288">
        <v>0.125</v>
      </c>
      <c r="I74" s="288">
        <v>0</v>
      </c>
      <c r="J74" s="288">
        <v>0</v>
      </c>
      <c r="K74" s="288">
        <v>0</v>
      </c>
      <c r="L74" s="288">
        <v>0</v>
      </c>
      <c r="M74" s="288">
        <v>0</v>
      </c>
      <c r="N74" s="288">
        <v>0</v>
      </c>
      <c r="O74" t="b">
        <f t="shared" si="1"/>
        <v>0</v>
      </c>
    </row>
    <row r="75" spans="1:15">
      <c r="A75" s="287" t="s">
        <v>146</v>
      </c>
      <c r="B75" s="287" t="s">
        <v>215</v>
      </c>
      <c r="C75" s="287"/>
      <c r="D75" s="288">
        <v>-7.4474350000000009E-2</v>
      </c>
      <c r="E75" s="288">
        <v>0.27500000000000002</v>
      </c>
      <c r="F75" s="287"/>
      <c r="G75" s="288">
        <v>0.28000000000000003</v>
      </c>
      <c r="H75" s="288">
        <v>0.4</v>
      </c>
      <c r="I75" s="288">
        <v>0.4</v>
      </c>
      <c r="J75" s="288">
        <v>0.4</v>
      </c>
      <c r="K75" s="288">
        <v>0.4</v>
      </c>
      <c r="L75" s="288">
        <v>1.6</v>
      </c>
      <c r="M75" s="288">
        <v>1.6</v>
      </c>
      <c r="N75" s="288">
        <v>2</v>
      </c>
      <c r="O75" t="b">
        <f t="shared" si="1"/>
        <v>0</v>
      </c>
    </row>
    <row r="76" spans="1:15">
      <c r="A76" s="287" t="s">
        <v>146</v>
      </c>
      <c r="B76" s="287" t="s">
        <v>216</v>
      </c>
      <c r="C76" s="287"/>
      <c r="D76" s="288">
        <v>0</v>
      </c>
      <c r="E76" s="288">
        <v>0</v>
      </c>
      <c r="F76" s="287"/>
      <c r="G76" s="288"/>
      <c r="H76" s="288">
        <v>0</v>
      </c>
      <c r="I76" s="288">
        <v>0.1</v>
      </c>
      <c r="J76" s="288">
        <v>0</v>
      </c>
      <c r="K76" s="288">
        <v>0</v>
      </c>
      <c r="L76" s="288">
        <v>0.5</v>
      </c>
      <c r="M76" s="288">
        <v>0</v>
      </c>
      <c r="N76" s="288">
        <v>0.5</v>
      </c>
      <c r="O76" t="b">
        <f t="shared" si="1"/>
        <v>0</v>
      </c>
    </row>
    <row r="77" spans="1:15">
      <c r="A77" s="287" t="s">
        <v>146</v>
      </c>
      <c r="B77" s="287" t="s">
        <v>217</v>
      </c>
      <c r="C77" s="287"/>
      <c r="D77" s="288">
        <v>0</v>
      </c>
      <c r="E77" s="288">
        <v>1.5</v>
      </c>
      <c r="F77" s="287"/>
      <c r="G77" s="288">
        <v>1.5</v>
      </c>
      <c r="H77" s="288">
        <v>0</v>
      </c>
      <c r="I77" s="288">
        <v>0</v>
      </c>
      <c r="J77" s="288">
        <v>0</v>
      </c>
      <c r="K77" s="288">
        <v>0</v>
      </c>
      <c r="L77" s="288">
        <v>0</v>
      </c>
      <c r="M77" s="288">
        <v>0</v>
      </c>
      <c r="N77" s="288">
        <v>0</v>
      </c>
      <c r="O77" t="b">
        <f t="shared" si="1"/>
        <v>0</v>
      </c>
    </row>
    <row r="78" spans="1:15">
      <c r="A78" s="287" t="s">
        <v>146</v>
      </c>
      <c r="B78" s="287" t="s">
        <v>218</v>
      </c>
      <c r="C78" s="287"/>
      <c r="D78" s="288">
        <v>0</v>
      </c>
      <c r="E78" s="288">
        <v>0</v>
      </c>
      <c r="F78" s="287"/>
      <c r="G78" s="288"/>
      <c r="H78" s="288">
        <v>0</v>
      </c>
      <c r="I78" s="288">
        <v>0.2</v>
      </c>
      <c r="J78" s="288">
        <v>0</v>
      </c>
      <c r="K78" s="288">
        <v>0</v>
      </c>
      <c r="L78" s="288">
        <v>1</v>
      </c>
      <c r="M78" s="288">
        <v>1</v>
      </c>
      <c r="N78" s="288">
        <v>1</v>
      </c>
      <c r="O78" t="b">
        <f t="shared" si="1"/>
        <v>0</v>
      </c>
    </row>
    <row r="79" spans="1:15">
      <c r="A79" s="287" t="s">
        <v>146</v>
      </c>
      <c r="B79" s="287" t="s">
        <v>219</v>
      </c>
      <c r="C79" s="287"/>
      <c r="D79" s="288">
        <v>0.19089</v>
      </c>
      <c r="E79" s="288">
        <v>0</v>
      </c>
      <c r="F79" s="287"/>
      <c r="G79" s="288"/>
      <c r="H79" s="288">
        <v>0.4</v>
      </c>
      <c r="I79" s="288">
        <v>0</v>
      </c>
      <c r="J79" s="288">
        <v>0</v>
      </c>
      <c r="K79" s="288">
        <v>0</v>
      </c>
      <c r="L79" s="288">
        <v>2.5</v>
      </c>
      <c r="M79" s="288">
        <v>0</v>
      </c>
      <c r="N79" s="288">
        <v>2.5</v>
      </c>
      <c r="O79" t="b">
        <f t="shared" si="1"/>
        <v>0</v>
      </c>
    </row>
    <row r="80" spans="1:15">
      <c r="A80" s="287" t="s">
        <v>115</v>
      </c>
      <c r="B80" s="287" t="s">
        <v>115</v>
      </c>
      <c r="C80" s="287"/>
      <c r="D80" s="288">
        <v>132.787308</v>
      </c>
      <c r="E80" s="288">
        <v>17.212692000000004</v>
      </c>
      <c r="F80" s="287"/>
      <c r="G80" s="288">
        <v>17.212692000000004</v>
      </c>
      <c r="H80" s="288">
        <v>0</v>
      </c>
      <c r="I80" s="288">
        <v>0</v>
      </c>
      <c r="J80" s="288">
        <v>0</v>
      </c>
      <c r="K80" s="288">
        <v>0</v>
      </c>
      <c r="L80" s="288">
        <v>0</v>
      </c>
      <c r="M80" s="288">
        <v>0</v>
      </c>
      <c r="N80" s="288">
        <v>0</v>
      </c>
      <c r="O80" t="b">
        <f t="shared" si="1"/>
        <v>1</v>
      </c>
    </row>
    <row r="81" spans="1:15">
      <c r="A81" s="287" t="s">
        <v>116</v>
      </c>
      <c r="B81" s="287" t="s">
        <v>116</v>
      </c>
      <c r="C81" s="287"/>
      <c r="D81" s="288">
        <v>46</v>
      </c>
      <c r="E81" s="288">
        <v>595</v>
      </c>
      <c r="F81" s="287"/>
      <c r="G81" s="288">
        <v>595</v>
      </c>
      <c r="H81" s="288">
        <v>230</v>
      </c>
      <c r="I81" s="288">
        <v>0</v>
      </c>
      <c r="J81" s="288">
        <v>0</v>
      </c>
      <c r="K81" s="288">
        <v>0</v>
      </c>
      <c r="L81" s="288">
        <v>0</v>
      </c>
      <c r="M81" s="288">
        <v>0</v>
      </c>
      <c r="N81" s="288">
        <v>0</v>
      </c>
      <c r="O81" t="b">
        <f t="shared" si="1"/>
        <v>1</v>
      </c>
    </row>
    <row r="82" spans="1:15">
      <c r="A82" s="287" t="s">
        <v>220</v>
      </c>
      <c r="B82" s="287" t="s">
        <v>221</v>
      </c>
      <c r="C82" s="287"/>
      <c r="D82" s="288">
        <v>0.99218200000000001</v>
      </c>
      <c r="E82" s="288">
        <v>8.8079999999999998</v>
      </c>
      <c r="F82" s="287"/>
      <c r="G82" s="288">
        <v>8.8079999999999998</v>
      </c>
      <c r="H82" s="288">
        <v>4.8</v>
      </c>
      <c r="I82" s="288">
        <v>4.8</v>
      </c>
      <c r="J82" s="288">
        <v>4.8</v>
      </c>
      <c r="K82" s="288">
        <v>0</v>
      </c>
      <c r="L82" s="288">
        <v>6</v>
      </c>
      <c r="M82" s="288">
        <v>0</v>
      </c>
      <c r="N82" s="288">
        <v>0</v>
      </c>
      <c r="O82" t="b">
        <f t="shared" si="1"/>
        <v>0</v>
      </c>
    </row>
    <row r="83" spans="1:15">
      <c r="A83" s="287" t="s">
        <v>220</v>
      </c>
      <c r="B83" s="287" t="s">
        <v>222</v>
      </c>
      <c r="C83" s="287"/>
      <c r="D83" s="288">
        <v>0</v>
      </c>
      <c r="E83" s="288">
        <v>12.5</v>
      </c>
      <c r="F83" s="287"/>
      <c r="G83" s="288">
        <v>12.5</v>
      </c>
      <c r="H83" s="288">
        <v>12.5</v>
      </c>
      <c r="I83" s="288">
        <v>0</v>
      </c>
      <c r="J83" s="288">
        <v>0</v>
      </c>
      <c r="K83" s="288">
        <v>0</v>
      </c>
      <c r="L83" s="288">
        <v>0</v>
      </c>
      <c r="M83" s="288">
        <v>0</v>
      </c>
      <c r="N83" s="288">
        <v>0</v>
      </c>
      <c r="O83" t="b">
        <f t="shared" si="1"/>
        <v>1</v>
      </c>
    </row>
    <row r="84" spans="1:15">
      <c r="A84" s="287" t="s">
        <v>223</v>
      </c>
      <c r="B84" s="287" t="s">
        <v>223</v>
      </c>
      <c r="C84" s="287"/>
      <c r="D84" s="288">
        <v>17.350000000000001</v>
      </c>
      <c r="E84" s="288">
        <v>41.5</v>
      </c>
      <c r="F84" s="287"/>
      <c r="G84" s="288">
        <v>41.5</v>
      </c>
      <c r="H84" s="288">
        <v>101.1</v>
      </c>
      <c r="I84" s="288">
        <v>12.5</v>
      </c>
      <c r="J84" s="288">
        <v>0.3</v>
      </c>
      <c r="K84" s="288">
        <v>0</v>
      </c>
      <c r="L84" s="288">
        <v>0</v>
      </c>
      <c r="M84" s="288">
        <v>17</v>
      </c>
      <c r="N84" s="288">
        <v>1.5</v>
      </c>
      <c r="O84" t="b">
        <f t="shared" si="1"/>
        <v>1</v>
      </c>
    </row>
    <row r="85" spans="1:15">
      <c r="A85" s="287" t="s">
        <v>224</v>
      </c>
      <c r="B85" s="287" t="s">
        <v>224</v>
      </c>
      <c r="C85" s="287"/>
      <c r="D85" s="288">
        <v>0</v>
      </c>
      <c r="E85" s="288">
        <v>55</v>
      </c>
      <c r="F85" s="287"/>
      <c r="G85" s="288">
        <v>55</v>
      </c>
      <c r="H85" s="288">
        <v>30</v>
      </c>
      <c r="I85" s="288">
        <v>0</v>
      </c>
      <c r="J85" s="288">
        <v>0</v>
      </c>
      <c r="K85" s="288">
        <v>0</v>
      </c>
      <c r="L85" s="288">
        <v>0</v>
      </c>
      <c r="M85" s="288">
        <v>0</v>
      </c>
      <c r="N85" s="288">
        <v>0</v>
      </c>
      <c r="O85" t="b">
        <f t="shared" si="1"/>
        <v>1</v>
      </c>
    </row>
    <row r="86" spans="1:15">
      <c r="A86" s="287" t="s">
        <v>225</v>
      </c>
      <c r="B86" s="287" t="s">
        <v>226</v>
      </c>
      <c r="C86" s="287"/>
      <c r="D86" s="288">
        <v>37.067999999999998</v>
      </c>
      <c r="E86" s="288">
        <v>130.38200000000001</v>
      </c>
      <c r="F86" s="287"/>
      <c r="G86" s="288">
        <v>130.38200000000001</v>
      </c>
      <c r="H86" s="288">
        <v>58.2</v>
      </c>
      <c r="I86" s="288">
        <v>48.9</v>
      </c>
      <c r="J86" s="288">
        <v>0</v>
      </c>
      <c r="K86" s="288">
        <v>5</v>
      </c>
      <c r="L86" s="288">
        <v>60.5</v>
      </c>
      <c r="M86" s="288">
        <v>24.2</v>
      </c>
      <c r="N86" s="288">
        <v>16.100000000000001</v>
      </c>
      <c r="O86" t="b">
        <f t="shared" si="1"/>
        <v>1</v>
      </c>
    </row>
    <row r="87" spans="1:15">
      <c r="A87" s="287" t="s">
        <v>156</v>
      </c>
      <c r="B87" s="287" t="s">
        <v>227</v>
      </c>
      <c r="C87" s="287"/>
      <c r="D87" s="288">
        <v>0</v>
      </c>
      <c r="E87" s="288">
        <v>0</v>
      </c>
      <c r="F87" s="287"/>
      <c r="G87" s="288">
        <v>0</v>
      </c>
      <c r="H87" s="288">
        <v>1.8</v>
      </c>
      <c r="I87" s="288">
        <v>5.5</v>
      </c>
      <c r="J87" s="288">
        <v>5.5</v>
      </c>
      <c r="K87" s="288">
        <v>15.9</v>
      </c>
      <c r="L87" s="288">
        <v>45.4</v>
      </c>
      <c r="M87" s="288">
        <v>97.8</v>
      </c>
      <c r="N87" s="288">
        <v>0</v>
      </c>
      <c r="O87" t="b">
        <f t="shared" si="1"/>
        <v>1</v>
      </c>
    </row>
    <row r="88" spans="1:15">
      <c r="A88" s="287" t="s">
        <v>228</v>
      </c>
      <c r="B88" s="287" t="s">
        <v>229</v>
      </c>
      <c r="C88" s="287"/>
      <c r="D88" s="288">
        <v>0</v>
      </c>
      <c r="E88" s="288">
        <v>0</v>
      </c>
      <c r="F88" s="287"/>
      <c r="G88" s="288">
        <v>0</v>
      </c>
      <c r="H88" s="288">
        <v>5.0999999999999996</v>
      </c>
      <c r="I88" s="288">
        <v>10.6</v>
      </c>
      <c r="J88" s="288">
        <v>13.7</v>
      </c>
      <c r="K88" s="288">
        <v>21.1</v>
      </c>
      <c r="L88" s="288">
        <v>25.1</v>
      </c>
      <c r="M88" s="288">
        <v>0</v>
      </c>
      <c r="N88" s="288">
        <v>0</v>
      </c>
      <c r="O88" t="b">
        <f t="shared" si="1"/>
        <v>1</v>
      </c>
    </row>
    <row r="89" spans="1:15">
      <c r="A89" s="287" t="s">
        <v>156</v>
      </c>
      <c r="B89" s="287" t="s">
        <v>230</v>
      </c>
      <c r="C89" s="287"/>
      <c r="D89" s="288">
        <v>0</v>
      </c>
      <c r="E89" s="288">
        <v>0</v>
      </c>
      <c r="F89" s="287"/>
      <c r="G89" s="288">
        <v>0</v>
      </c>
      <c r="H89" s="288">
        <v>0</v>
      </c>
      <c r="I89" s="288">
        <v>0</v>
      </c>
      <c r="J89" s="288">
        <v>0</v>
      </c>
      <c r="K89" s="288">
        <v>0</v>
      </c>
      <c r="L89" s="288">
        <v>54.1</v>
      </c>
      <c r="M89" s="288">
        <v>29.3</v>
      </c>
      <c r="N89" s="288">
        <v>8.6</v>
      </c>
      <c r="O89" t="b">
        <f t="shared" si="1"/>
        <v>0</v>
      </c>
    </row>
    <row r="90" spans="1:15">
      <c r="A90" s="287" t="s">
        <v>156</v>
      </c>
      <c r="B90" s="287"/>
      <c r="C90" s="287"/>
      <c r="D90" s="287"/>
      <c r="E90" s="287"/>
      <c r="F90" s="287"/>
      <c r="G90" s="287"/>
      <c r="H90" s="287"/>
      <c r="I90" s="287"/>
      <c r="J90" s="287"/>
      <c r="K90" s="287"/>
      <c r="L90" s="287"/>
      <c r="M90" s="287"/>
      <c r="N90" s="287"/>
    </row>
    <row r="91" spans="1:15">
      <c r="A91" s="287" t="s">
        <v>156</v>
      </c>
      <c r="B91" s="287"/>
      <c r="C91" s="287"/>
      <c r="D91" s="287"/>
      <c r="E91" s="287"/>
      <c r="F91" s="287"/>
      <c r="G91" s="287"/>
      <c r="H91" s="287"/>
      <c r="I91" s="287"/>
      <c r="J91" s="287"/>
      <c r="K91" s="287"/>
      <c r="L91" s="287"/>
      <c r="M91" s="287"/>
      <c r="N91" s="287"/>
    </row>
    <row r="92" spans="1:15">
      <c r="A92" s="287" t="s">
        <v>156</v>
      </c>
      <c r="B92" s="287"/>
      <c r="C92" s="287"/>
      <c r="D92" s="287"/>
      <c r="E92" s="287"/>
      <c r="F92" s="287"/>
      <c r="G92" s="287"/>
      <c r="H92" s="287"/>
      <c r="I92" s="287"/>
      <c r="J92" s="287"/>
      <c r="K92" s="287"/>
      <c r="L92" s="287"/>
      <c r="M92" s="287"/>
      <c r="N92" s="287"/>
    </row>
    <row r="95" spans="1:15">
      <c r="G95">
        <f>SUBTOTAL(9,G9:G89)</f>
        <v>1485.89573015</v>
      </c>
      <c r="H95">
        <f t="shared" ref="H95:K95" si="2">SUBTOTAL(9,H9:H89)</f>
        <v>842.01199999999994</v>
      </c>
      <c r="I95">
        <f t="shared" si="2"/>
        <v>805.61999999999989</v>
      </c>
      <c r="J95">
        <f t="shared" si="2"/>
        <v>257.19800000000004</v>
      </c>
      <c r="K95">
        <f t="shared" si="2"/>
        <v>159.88200000000001</v>
      </c>
      <c r="L95">
        <f t="shared" ref="L95:N95" si="3">SUBTOTAL(9,L1:L89)</f>
        <v>4437.9271542266688</v>
      </c>
      <c r="M95">
        <f t="shared" si="3"/>
        <v>570.34999999999991</v>
      </c>
      <c r="N95">
        <f t="shared" si="3"/>
        <v>440.80000000000007</v>
      </c>
    </row>
  </sheetData>
  <autoFilter ref="A1:O93" xr:uid="{189441AF-9D80-4C64-8FF3-ECF77F9C14BD}"/>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DDDC8-78EA-4CDC-8081-C45F62E0DFB2}">
  <sheetPr>
    <pageSetUpPr fitToPage="1"/>
  </sheetPr>
  <dimension ref="B1:AT321"/>
  <sheetViews>
    <sheetView showGridLines="0" zoomScale="175" zoomScaleNormal="175" workbookViewId="0">
      <selection activeCell="D14" sqref="D14"/>
    </sheetView>
  </sheetViews>
  <sheetFormatPr defaultColWidth="9.1328125" defaultRowHeight="13.5"/>
  <cols>
    <col min="1" max="1" width="3.73046875" style="351" customWidth="1"/>
    <col min="2" max="2" width="49.59765625" style="351" bestFit="1" customWidth="1"/>
    <col min="3" max="7" width="10.3984375" style="351" customWidth="1"/>
    <col min="8" max="8" width="11.59765625" style="351" bestFit="1" customWidth="1"/>
    <col min="9" max="9" width="29.3984375" style="427" customWidth="1"/>
    <col min="10" max="10" width="13.59765625" style="351" customWidth="1"/>
    <col min="11" max="11" width="10.73046875" style="427" bestFit="1" customWidth="1"/>
    <col min="12" max="14" width="9.1328125" style="351"/>
    <col min="15" max="15" width="43.3984375" style="351" bestFit="1" customWidth="1"/>
    <col min="16" max="16384" width="9.1328125" style="351"/>
  </cols>
  <sheetData>
    <row r="1" spans="2:46" ht="14.25" thickBot="1">
      <c r="B1" s="298" t="s">
        <v>241</v>
      </c>
    </row>
    <row r="2" spans="2:46" ht="15" customHeight="1" thickBot="1">
      <c r="B2" s="299" t="s">
        <v>242</v>
      </c>
      <c r="C2" s="479" t="s">
        <v>138</v>
      </c>
      <c r="D2" s="479" t="s">
        <v>243</v>
      </c>
      <c r="E2" s="480" t="s">
        <v>231</v>
      </c>
      <c r="F2" s="479" t="s">
        <v>140</v>
      </c>
      <c r="G2" s="479" t="s">
        <v>140</v>
      </c>
      <c r="T2" s="373"/>
      <c r="AK2" s="351" t="s">
        <v>1008</v>
      </c>
      <c r="AR2" s="351" t="s">
        <v>432</v>
      </c>
    </row>
    <row r="3" spans="2:46" ht="13.9">
      <c r="B3" s="300" t="s">
        <v>244</v>
      </c>
      <c r="C3" s="479"/>
      <c r="D3" s="479"/>
      <c r="E3" s="480"/>
      <c r="F3" s="479"/>
      <c r="G3" s="479"/>
      <c r="I3" s="428"/>
    </row>
    <row r="4" spans="2:46" ht="14.25">
      <c r="B4" s="301"/>
      <c r="C4" s="296" t="s">
        <v>127</v>
      </c>
      <c r="D4" s="296" t="s">
        <v>127</v>
      </c>
      <c r="E4" s="291" t="s">
        <v>128</v>
      </c>
      <c r="F4" s="296" t="s">
        <v>129</v>
      </c>
      <c r="G4" s="296" t="s">
        <v>130</v>
      </c>
      <c r="T4" s="373" t="s">
        <v>1007</v>
      </c>
      <c r="U4" s="103" t="s">
        <v>997</v>
      </c>
      <c r="V4" s="103" t="s">
        <v>998</v>
      </c>
      <c r="W4" s="103" t="s">
        <v>999</v>
      </c>
      <c r="Y4" t="s">
        <v>258</v>
      </c>
      <c r="Z4" s="102" t="s">
        <v>1003</v>
      </c>
      <c r="AA4" s="102" t="s">
        <v>1004</v>
      </c>
      <c r="AB4" s="102" t="s">
        <v>1005</v>
      </c>
      <c r="AC4" s="102" t="s">
        <v>1006</v>
      </c>
      <c r="AI4" s="351" t="s">
        <v>138</v>
      </c>
      <c r="AJ4" s="351" t="s">
        <v>243</v>
      </c>
      <c r="AK4" s="351" t="s">
        <v>231</v>
      </c>
      <c r="AL4" s="351" t="s">
        <v>140</v>
      </c>
      <c r="AM4" s="351" t="s">
        <v>140</v>
      </c>
      <c r="AP4" s="351" t="s">
        <v>138</v>
      </c>
      <c r="AQ4" s="351" t="s">
        <v>243</v>
      </c>
      <c r="AR4" s="351" t="s">
        <v>231</v>
      </c>
      <c r="AS4" s="351" t="s">
        <v>140</v>
      </c>
      <c r="AT4" s="351" t="s">
        <v>140</v>
      </c>
    </row>
    <row r="5" spans="2:46" ht="14.65" thickBot="1">
      <c r="B5" s="302"/>
      <c r="C5" s="303" t="s">
        <v>40</v>
      </c>
      <c r="D5" s="303" t="s">
        <v>40</v>
      </c>
      <c r="E5" s="304" t="s">
        <v>40</v>
      </c>
      <c r="F5" s="303" t="s">
        <v>40</v>
      </c>
      <c r="G5" s="303" t="s">
        <v>40</v>
      </c>
      <c r="T5" s="103" t="s">
        <v>1000</v>
      </c>
      <c r="U5" s="103" t="s">
        <v>729</v>
      </c>
      <c r="V5" s="103" t="s">
        <v>729</v>
      </c>
      <c r="W5" s="103" t="s">
        <v>729</v>
      </c>
      <c r="Y5" s="426" t="s">
        <v>247</v>
      </c>
      <c r="Z5" s="102">
        <v>-350992.46250000002</v>
      </c>
      <c r="AA5" s="102">
        <v>-411952.5</v>
      </c>
      <c r="AB5" s="102">
        <v>-376096</v>
      </c>
      <c r="AC5" s="102">
        <v>-376096</v>
      </c>
    </row>
    <row r="6" spans="2:46" ht="14.25">
      <c r="B6" s="305" t="s">
        <v>245</v>
      </c>
      <c r="C6" s="306"/>
      <c r="D6" s="306"/>
      <c r="E6" s="307"/>
      <c r="F6" s="306"/>
      <c r="G6" s="306"/>
      <c r="I6" s="430" t="s">
        <v>1011</v>
      </c>
      <c r="J6" s="373" t="s">
        <v>1009</v>
      </c>
      <c r="K6" s="428" t="s">
        <v>1010</v>
      </c>
      <c r="L6" s="373" t="s">
        <v>0</v>
      </c>
      <c r="M6" s="373" t="s">
        <v>1012</v>
      </c>
      <c r="N6" s="373" t="s">
        <v>1023</v>
      </c>
      <c r="O6" s="373" t="s">
        <v>1022</v>
      </c>
      <c r="P6" s="373" t="s">
        <v>0</v>
      </c>
      <c r="T6" s="200" t="s">
        <v>94</v>
      </c>
      <c r="U6" s="200">
        <v>21.386710000000001</v>
      </c>
      <c r="V6" s="200">
        <v>20.820779999999999</v>
      </c>
      <c r="W6" s="200">
        <v>19.492000000000001</v>
      </c>
      <c r="Y6" s="426" t="s">
        <v>246</v>
      </c>
      <c r="Z6" s="102">
        <v>-4848</v>
      </c>
      <c r="AA6" s="102">
        <v>-4221</v>
      </c>
      <c r="AB6" s="102">
        <v>-3400</v>
      </c>
      <c r="AC6" s="102">
        <v>-4384</v>
      </c>
      <c r="AI6" s="351" t="s">
        <v>127</v>
      </c>
      <c r="AJ6" s="351" t="s">
        <v>127</v>
      </c>
      <c r="AK6" s="351" t="s">
        <v>128</v>
      </c>
      <c r="AL6" s="351" t="s">
        <v>129</v>
      </c>
      <c r="AM6" s="351" t="s">
        <v>130</v>
      </c>
      <c r="AP6" s="351" t="s">
        <v>127</v>
      </c>
      <c r="AQ6" s="351" t="s">
        <v>127</v>
      </c>
      <c r="AR6" s="351" t="s">
        <v>128</v>
      </c>
      <c r="AS6" s="351" t="s">
        <v>129</v>
      </c>
      <c r="AT6" s="351" t="s">
        <v>130</v>
      </c>
    </row>
    <row r="7" spans="2:46" ht="14.25">
      <c r="B7" s="308" t="s">
        <v>246</v>
      </c>
      <c r="C7" s="309">
        <v>80.983999999999995</v>
      </c>
      <c r="D7" s="309">
        <f>P7</f>
        <v>92.967150930000003</v>
      </c>
      <c r="E7" s="307">
        <v>74.100000000000009</v>
      </c>
      <c r="F7" s="351">
        <v>65</v>
      </c>
      <c r="G7" s="351">
        <v>60.8</v>
      </c>
      <c r="I7" s="427" t="s">
        <v>246</v>
      </c>
      <c r="J7" s="351">
        <v>76.135999999999996</v>
      </c>
      <c r="K7" s="427">
        <v>4.8479999999999999</v>
      </c>
      <c r="L7" s="373">
        <f t="shared" ref="L7:L14" si="0">J7+K7</f>
        <v>80.983999999999995</v>
      </c>
      <c r="M7" s="351">
        <f>J25</f>
        <v>10.9</v>
      </c>
      <c r="N7" s="351">
        <v>3.3831509299999998</v>
      </c>
      <c r="O7" s="351">
        <v>-2.2999999999999998</v>
      </c>
      <c r="P7" s="373">
        <f>SUM(L7:O7)</f>
        <v>92.967150930000003</v>
      </c>
      <c r="T7" s="200" t="s">
        <v>246</v>
      </c>
      <c r="U7" s="200">
        <v>69.862499999999997</v>
      </c>
      <c r="V7" s="200">
        <v>61.601500000000001</v>
      </c>
      <c r="W7" s="200">
        <v>56.432000000000002</v>
      </c>
      <c r="Y7" s="426" t="s">
        <v>1002</v>
      </c>
      <c r="Z7" s="102">
        <v>-14898</v>
      </c>
      <c r="AA7" s="102">
        <v>-33225</v>
      </c>
      <c r="AB7" s="102">
        <v>-10172</v>
      </c>
      <c r="AC7" s="102">
        <v>-5437</v>
      </c>
      <c r="AI7" s="351">
        <f>'GLA Mayor (2)'!C7</f>
        <v>77.3</v>
      </c>
      <c r="AJ7" s="351">
        <f>'GLA Mayor (2)'!D7</f>
        <v>75</v>
      </c>
      <c r="AK7" s="351">
        <f>'GLA Mayor (2)'!E7</f>
        <v>74.100000000000009</v>
      </c>
      <c r="AL7" s="373">
        <f>'GLA Mayor (2)'!F7</f>
        <v>65</v>
      </c>
      <c r="AM7" s="351">
        <f>'GLA Mayor (2)'!G7</f>
        <v>60.8</v>
      </c>
      <c r="AP7" s="351">
        <f t="shared" ref="AP7:AP27" si="1">AI7-C7</f>
        <v>-3.6839999999999975</v>
      </c>
      <c r="AQ7" s="351">
        <f t="shared" ref="AQ7:AQ27" si="2">AJ7-D7</f>
        <v>-17.967150930000003</v>
      </c>
      <c r="AR7" s="351">
        <f t="shared" ref="AR7:AR27" si="3">AK7-E7</f>
        <v>0</v>
      </c>
      <c r="AS7" s="373">
        <f t="shared" ref="AS7:AS27" si="4">AL7-F7</f>
        <v>0</v>
      </c>
      <c r="AT7" s="351">
        <f t="shared" ref="AT7:AT27" si="5">AM7-G7</f>
        <v>0</v>
      </c>
    </row>
    <row r="8" spans="2:46" ht="14.25">
      <c r="B8" s="308" t="s">
        <v>94</v>
      </c>
      <c r="C8" s="309">
        <v>35.290199839999957</v>
      </c>
      <c r="D8" s="309">
        <f t="shared" ref="D8:D14" si="6">P8</f>
        <v>65.309806839999965</v>
      </c>
      <c r="E8" s="307">
        <v>64.699999999999989</v>
      </c>
      <c r="F8" s="351">
        <v>41</v>
      </c>
      <c r="G8" s="351">
        <v>24.9</v>
      </c>
      <c r="I8" s="427" t="s">
        <v>94</v>
      </c>
      <c r="J8" s="351">
        <v>20.392199839999961</v>
      </c>
      <c r="K8" s="427">
        <v>14.898</v>
      </c>
      <c r="L8" s="373">
        <f t="shared" si="0"/>
        <v>35.290199839999957</v>
      </c>
      <c r="M8" s="351">
        <f>J18+J19+J20+J21</f>
        <v>26.1</v>
      </c>
      <c r="N8" s="351">
        <v>3.0196070000000002</v>
      </c>
      <c r="O8" s="351">
        <v>0.9</v>
      </c>
      <c r="P8" s="373">
        <f t="shared" ref="P8:P14" si="7">SUM(L8:O8)</f>
        <v>65.309806839999965</v>
      </c>
      <c r="T8" s="200" t="s">
        <v>247</v>
      </c>
      <c r="U8" s="200">
        <v>34.809425000000005</v>
      </c>
      <c r="V8" s="200">
        <v>22.460925</v>
      </c>
      <c r="W8" s="200">
        <v>22.119499800826201</v>
      </c>
      <c r="Y8" s="426" t="s">
        <v>987</v>
      </c>
      <c r="Z8" s="102">
        <v>-227</v>
      </c>
      <c r="AA8" s="102">
        <v>-390</v>
      </c>
      <c r="AB8" s="102">
        <v>-400</v>
      </c>
      <c r="AC8" s="102">
        <v>-200</v>
      </c>
      <c r="AI8" s="351">
        <f>'GLA Mayor (2)'!C8</f>
        <v>35.400000000000006</v>
      </c>
      <c r="AJ8" s="351">
        <f>'GLA Mayor (2)'!D8</f>
        <v>35.400000000000006</v>
      </c>
      <c r="AK8" s="351">
        <f>'GLA Mayor (2)'!E8</f>
        <v>64.699999999999989</v>
      </c>
      <c r="AL8" s="373">
        <f>'GLA Mayor (2)'!F8</f>
        <v>41</v>
      </c>
      <c r="AM8" s="351">
        <f>'GLA Mayor (2)'!G8</f>
        <v>24.9</v>
      </c>
      <c r="AP8" s="351">
        <f t="shared" si="1"/>
        <v>0.10980016000004866</v>
      </c>
      <c r="AQ8" s="351">
        <f t="shared" si="2"/>
        <v>-29.909806839999959</v>
      </c>
      <c r="AR8" s="351">
        <f t="shared" si="3"/>
        <v>0</v>
      </c>
      <c r="AS8" s="373">
        <f t="shared" si="4"/>
        <v>0</v>
      </c>
      <c r="AT8" s="351">
        <f t="shared" si="5"/>
        <v>0</v>
      </c>
    </row>
    <row r="9" spans="2:46" ht="14.25">
      <c r="B9" s="308" t="s">
        <v>247</v>
      </c>
      <c r="C9" s="309">
        <v>392.92192450000005</v>
      </c>
      <c r="D9" s="309">
        <f t="shared" si="6"/>
        <v>442.28292366000011</v>
      </c>
      <c r="E9" s="307">
        <v>412.40000000000003</v>
      </c>
      <c r="F9" s="351">
        <v>398.5</v>
      </c>
      <c r="G9" s="351">
        <v>398.1</v>
      </c>
      <c r="I9" s="427" t="s">
        <v>247</v>
      </c>
      <c r="J9" s="351">
        <v>41.929462000000001</v>
      </c>
      <c r="K9" s="427">
        <v>350.99246250000004</v>
      </c>
      <c r="L9" s="373">
        <f t="shared" si="0"/>
        <v>392.92192450000005</v>
      </c>
      <c r="M9" s="351">
        <f>J22+J23</f>
        <v>39.699999999999996</v>
      </c>
      <c r="N9" s="351">
        <v>12.56099916000003</v>
      </c>
      <c r="O9" s="351">
        <v>-2.9</v>
      </c>
      <c r="P9" s="373">
        <f t="shared" si="7"/>
        <v>442.28292366000011</v>
      </c>
      <c r="T9" s="200" t="s">
        <v>987</v>
      </c>
      <c r="U9" s="200">
        <v>27.294</v>
      </c>
      <c r="V9" s="200">
        <v>27.268000000000001</v>
      </c>
      <c r="W9" s="200">
        <v>24.597999999999999</v>
      </c>
      <c r="Y9" s="426" t="s">
        <v>644</v>
      </c>
      <c r="Z9" s="102">
        <v>-370965.46250000002</v>
      </c>
      <c r="AA9" s="102">
        <v>-449788.5</v>
      </c>
      <c r="AB9" s="102">
        <v>-390068</v>
      </c>
      <c r="AC9" s="102">
        <v>-386117</v>
      </c>
      <c r="AI9" s="351">
        <f>'GLA Mayor (2)'!C9</f>
        <v>390.6</v>
      </c>
      <c r="AJ9" s="351">
        <f>'GLA Mayor (2)'!D9</f>
        <v>387.8</v>
      </c>
      <c r="AK9" s="351">
        <f>'GLA Mayor (2)'!E9</f>
        <v>412.40000000000003</v>
      </c>
      <c r="AL9" s="373">
        <f>'GLA Mayor (2)'!F9</f>
        <v>398.5</v>
      </c>
      <c r="AM9" s="351">
        <f>'GLA Mayor (2)'!G9</f>
        <v>398.1</v>
      </c>
      <c r="AP9" s="351">
        <f t="shared" si="1"/>
        <v>-2.3219245000000228</v>
      </c>
      <c r="AQ9" s="351">
        <f t="shared" si="2"/>
        <v>-54.482923660000097</v>
      </c>
      <c r="AR9" s="351">
        <f t="shared" si="3"/>
        <v>0</v>
      </c>
      <c r="AS9" s="373">
        <f t="shared" si="4"/>
        <v>0</v>
      </c>
      <c r="AT9" s="351">
        <f t="shared" si="5"/>
        <v>0</v>
      </c>
    </row>
    <row r="10" spans="2:46" ht="14.25">
      <c r="B10" s="308" t="s">
        <v>248</v>
      </c>
      <c r="C10" s="309">
        <v>23.630000299999999</v>
      </c>
      <c r="D10" s="309">
        <f t="shared" si="6"/>
        <v>24.416820299999998</v>
      </c>
      <c r="E10" s="307">
        <v>26.6</v>
      </c>
      <c r="F10" s="351">
        <v>26.7</v>
      </c>
      <c r="G10" s="351">
        <v>23.8</v>
      </c>
      <c r="I10" s="427" t="s">
        <v>248</v>
      </c>
      <c r="J10" s="351">
        <v>23.403000299999999</v>
      </c>
      <c r="K10" s="427">
        <v>0.22700000000000001</v>
      </c>
      <c r="L10" s="373">
        <f t="shared" si="0"/>
        <v>23.630000299999999</v>
      </c>
      <c r="M10" s="351">
        <v>6.8199999999999997E-3</v>
      </c>
      <c r="N10" s="351">
        <v>0.38</v>
      </c>
      <c r="O10" s="351">
        <v>0.4</v>
      </c>
      <c r="P10" s="373">
        <f t="shared" si="7"/>
        <v>24.416820299999998</v>
      </c>
      <c r="T10" s="200" t="s">
        <v>996</v>
      </c>
      <c r="U10" s="200">
        <v>5.6465930000000002</v>
      </c>
      <c r="V10" s="200">
        <v>5.7095929999999999</v>
      </c>
      <c r="W10" s="200">
        <v>5.7569999999999997</v>
      </c>
      <c r="AI10" s="351">
        <f>'GLA Mayor (2)'!C10</f>
        <v>22.7</v>
      </c>
      <c r="AJ10" s="351">
        <f>'GLA Mayor (2)'!D10</f>
        <v>22.7</v>
      </c>
      <c r="AK10" s="351">
        <f>'GLA Mayor (2)'!E10</f>
        <v>26.6</v>
      </c>
      <c r="AL10" s="373">
        <f>'GLA Mayor (2)'!F10</f>
        <v>26.7</v>
      </c>
      <c r="AM10" s="351">
        <f>'GLA Mayor (2)'!G10</f>
        <v>23.8</v>
      </c>
      <c r="AP10" s="351">
        <f t="shared" si="1"/>
        <v>-0.93000029999999967</v>
      </c>
      <c r="AQ10" s="351">
        <f t="shared" si="2"/>
        <v>-1.7168202999999984</v>
      </c>
      <c r="AR10" s="351">
        <f t="shared" si="3"/>
        <v>0</v>
      </c>
      <c r="AS10" s="373">
        <f t="shared" si="4"/>
        <v>0</v>
      </c>
      <c r="AT10" s="351">
        <f t="shared" si="5"/>
        <v>0</v>
      </c>
    </row>
    <row r="11" spans="2:46" ht="14.25">
      <c r="B11" s="308" t="s">
        <v>107</v>
      </c>
      <c r="C11" s="309">
        <v>31.335984029999999</v>
      </c>
      <c r="D11" s="309">
        <f t="shared" si="6"/>
        <v>33.49098403</v>
      </c>
      <c r="E11" s="307">
        <v>29.6</v>
      </c>
      <c r="F11" s="351">
        <v>29.3</v>
      </c>
      <c r="G11" s="351">
        <v>31.7</v>
      </c>
      <c r="I11" s="427" t="s">
        <v>107</v>
      </c>
      <c r="J11" s="351">
        <v>31.335984029999999</v>
      </c>
      <c r="L11" s="373">
        <f t="shared" si="0"/>
        <v>31.335984029999999</v>
      </c>
      <c r="N11" s="351">
        <v>2.5550000000000002</v>
      </c>
      <c r="O11" s="351">
        <v>-0.4</v>
      </c>
      <c r="P11" s="373">
        <f t="shared" si="7"/>
        <v>33.49098403</v>
      </c>
      <c r="T11" s="200" t="s">
        <v>1001</v>
      </c>
      <c r="U11" s="200">
        <v>12.653969999999999</v>
      </c>
      <c r="V11" s="200">
        <v>28.272970000000001</v>
      </c>
      <c r="W11" s="200">
        <v>14.281861000000001</v>
      </c>
      <c r="AI11" s="351">
        <f>'GLA Mayor (2)'!C11</f>
        <v>27.500000000000057</v>
      </c>
      <c r="AJ11" s="351">
        <f>'GLA Mayor (2)'!D11</f>
        <v>27.500000000000057</v>
      </c>
      <c r="AK11" s="351">
        <f>'GLA Mayor (2)'!E11</f>
        <v>29.4</v>
      </c>
      <c r="AL11" s="373">
        <f>'GLA Mayor (2)'!F11</f>
        <v>29.099999999999966</v>
      </c>
      <c r="AM11" s="351">
        <f>'GLA Mayor (2)'!G11</f>
        <v>31.500000000000128</v>
      </c>
      <c r="AP11" s="351">
        <f t="shared" si="1"/>
        <v>-3.8359840299999419</v>
      </c>
      <c r="AQ11" s="351">
        <f t="shared" si="2"/>
        <v>-5.9909840299999431</v>
      </c>
      <c r="AR11" s="351">
        <f t="shared" si="3"/>
        <v>-0.20000000000000284</v>
      </c>
      <c r="AS11" s="373">
        <f t="shared" si="4"/>
        <v>-0.20000000000003482</v>
      </c>
      <c r="AT11" s="351">
        <f t="shared" si="5"/>
        <v>-0.19999999999987139</v>
      </c>
    </row>
    <row r="12" spans="2:46" ht="14.25">
      <c r="B12" s="308" t="s">
        <v>249</v>
      </c>
      <c r="C12" s="309">
        <v>6.0089999999999995</v>
      </c>
      <c r="D12" s="309">
        <f t="shared" si="6"/>
        <v>7.9639999999999995</v>
      </c>
      <c r="E12" s="307">
        <v>7.9999999999999991</v>
      </c>
      <c r="F12" s="351">
        <v>7</v>
      </c>
      <c r="G12" s="351">
        <v>7.8000000000000007</v>
      </c>
      <c r="I12" s="427" t="s">
        <v>249</v>
      </c>
      <c r="J12" s="351">
        <v>6.0089999999999995</v>
      </c>
      <c r="L12" s="373">
        <f t="shared" si="0"/>
        <v>6.0089999999999995</v>
      </c>
      <c r="O12" s="351">
        <v>1.9550000000000001</v>
      </c>
      <c r="P12" s="373">
        <f t="shared" si="7"/>
        <v>7.9639999999999995</v>
      </c>
      <c r="T12" s="200" t="s">
        <v>107</v>
      </c>
      <c r="U12" s="200">
        <v>29.562916642282023</v>
      </c>
      <c r="V12" s="200">
        <v>29.359416642282024</v>
      </c>
      <c r="W12" s="200">
        <v>31.709140619416335</v>
      </c>
      <c r="AI12" s="351">
        <f>'GLA Mayor (2)'!C12</f>
        <v>6.0089999999999995</v>
      </c>
      <c r="AJ12" s="351">
        <f>'GLA Mayor (2)'!D12</f>
        <v>8.0090000000000003</v>
      </c>
      <c r="AK12" s="351">
        <f>'GLA Mayor (2)'!E12</f>
        <v>7.9999999999999991</v>
      </c>
      <c r="AL12" s="373">
        <f>'GLA Mayor (2)'!F12</f>
        <v>7</v>
      </c>
      <c r="AM12" s="351">
        <f>'GLA Mayor (2)'!G12</f>
        <v>7.8000000000000007</v>
      </c>
      <c r="AP12" s="351">
        <f t="shared" si="1"/>
        <v>0</v>
      </c>
      <c r="AQ12" s="351">
        <f t="shared" si="2"/>
        <v>4.5000000000000817E-2</v>
      </c>
      <c r="AR12" s="351">
        <f t="shared" si="3"/>
        <v>0</v>
      </c>
      <c r="AS12" s="373">
        <f t="shared" si="4"/>
        <v>0</v>
      </c>
      <c r="AT12" s="351">
        <f t="shared" si="5"/>
        <v>0</v>
      </c>
    </row>
    <row r="13" spans="2:46" ht="13.9">
      <c r="B13" s="308" t="s">
        <v>109</v>
      </c>
      <c r="C13" s="309">
        <v>5.3609999999999998</v>
      </c>
      <c r="D13" s="309">
        <f t="shared" si="6"/>
        <v>5.3609999999999998</v>
      </c>
      <c r="E13" s="307">
        <v>5.6</v>
      </c>
      <c r="F13" s="351">
        <v>5.7</v>
      </c>
      <c r="G13" s="351">
        <v>5.6</v>
      </c>
      <c r="I13" s="427" t="s">
        <v>109</v>
      </c>
      <c r="J13" s="351">
        <v>5.3609999999999998</v>
      </c>
      <c r="L13" s="373">
        <f t="shared" si="0"/>
        <v>5.3609999999999998</v>
      </c>
      <c r="O13" s="351">
        <v>0</v>
      </c>
      <c r="P13" s="373">
        <f t="shared" si="7"/>
        <v>5.3609999999999998</v>
      </c>
      <c r="AI13" s="351">
        <f>'GLA Mayor (2)'!C13</f>
        <v>5.2</v>
      </c>
      <c r="AJ13" s="351">
        <f>'GLA Mayor (2)'!D13</f>
        <v>5.2</v>
      </c>
      <c r="AK13" s="351">
        <f>'GLA Mayor (2)'!E13</f>
        <v>5.6</v>
      </c>
      <c r="AL13" s="373">
        <f>'GLA Mayor (2)'!F13</f>
        <v>5.7</v>
      </c>
      <c r="AM13" s="351">
        <f>'GLA Mayor (2)'!G13</f>
        <v>5.6</v>
      </c>
      <c r="AP13" s="351">
        <f t="shared" si="1"/>
        <v>-0.16099999999999959</v>
      </c>
      <c r="AQ13" s="351">
        <f t="shared" si="2"/>
        <v>-0.16099999999999959</v>
      </c>
      <c r="AR13" s="351">
        <f t="shared" si="3"/>
        <v>0</v>
      </c>
      <c r="AS13" s="373">
        <f t="shared" si="4"/>
        <v>0</v>
      </c>
      <c r="AT13" s="351">
        <f t="shared" si="5"/>
        <v>0</v>
      </c>
    </row>
    <row r="14" spans="2:46" ht="14.25" thickBot="1">
      <c r="B14" s="310" t="s">
        <v>101</v>
      </c>
      <c r="C14" s="311">
        <v>2.2000000000000002</v>
      </c>
      <c r="D14" s="311">
        <f t="shared" si="6"/>
        <v>2.2000000000000002</v>
      </c>
      <c r="E14" s="312">
        <v>4.7</v>
      </c>
      <c r="F14" s="313">
        <v>21.3</v>
      </c>
      <c r="G14" s="313">
        <v>6.5</v>
      </c>
      <c r="I14" s="427" t="s">
        <v>101</v>
      </c>
      <c r="J14" s="351">
        <v>2.2000000000000002</v>
      </c>
      <c r="L14" s="373">
        <f t="shared" si="0"/>
        <v>2.2000000000000002</v>
      </c>
      <c r="O14" s="351">
        <v>0</v>
      </c>
      <c r="P14" s="373">
        <f t="shared" si="7"/>
        <v>2.2000000000000002</v>
      </c>
      <c r="AI14" s="351">
        <f>'GLA Mayor (2)'!C14</f>
        <v>2.15</v>
      </c>
      <c r="AJ14" s="351">
        <f>'GLA Mayor (2)'!D14</f>
        <v>2.15</v>
      </c>
      <c r="AK14" s="351">
        <f>'GLA Mayor (2)'!E14</f>
        <v>4.7</v>
      </c>
      <c r="AL14" s="373">
        <f>'GLA Mayor (2)'!F14</f>
        <v>21.3</v>
      </c>
      <c r="AM14" s="351">
        <f>'GLA Mayor (2)'!G14</f>
        <v>6.5</v>
      </c>
      <c r="AP14" s="351">
        <f t="shared" si="1"/>
        <v>-5.0000000000000266E-2</v>
      </c>
      <c r="AQ14" s="351">
        <f t="shared" si="2"/>
        <v>-5.0000000000000266E-2</v>
      </c>
      <c r="AR14" s="351">
        <f t="shared" si="3"/>
        <v>0</v>
      </c>
      <c r="AS14" s="373">
        <f t="shared" si="4"/>
        <v>0</v>
      </c>
      <c r="AT14" s="351">
        <f t="shared" si="5"/>
        <v>0</v>
      </c>
    </row>
    <row r="15" spans="2:46" ht="14.25" thickBot="1">
      <c r="B15" s="314" t="s">
        <v>245</v>
      </c>
      <c r="C15" s="315">
        <f>SUM(C7:C14)</f>
        <v>577.73210867</v>
      </c>
      <c r="D15" s="315">
        <f>SUM(D7:D14)</f>
        <v>673.99268576000031</v>
      </c>
      <c r="E15" s="316">
        <f>SUM(E7:E14)</f>
        <v>625.70000000000016</v>
      </c>
      <c r="F15" s="315">
        <f t="shared" ref="F15:G15" si="8">SUM(F7:F14)</f>
        <v>594.5</v>
      </c>
      <c r="G15" s="315">
        <f t="shared" si="8"/>
        <v>559.20000000000005</v>
      </c>
      <c r="H15" s="296">
        <f>E15-C15</f>
        <v>47.967891330000157</v>
      </c>
      <c r="I15" s="427" t="s">
        <v>258</v>
      </c>
      <c r="L15" s="373"/>
      <c r="P15" s="373"/>
      <c r="Q15" s="373"/>
      <c r="R15" s="296"/>
      <c r="S15" s="296"/>
      <c r="T15" s="294"/>
      <c r="AI15" s="351">
        <f>'GLA Mayor (2)'!C15</f>
        <v>566.85900000000004</v>
      </c>
      <c r="AJ15" s="351">
        <f>'GLA Mayor (2)'!D15</f>
        <v>563.75900000000013</v>
      </c>
      <c r="AK15" s="351">
        <f>'GLA Mayor (2)'!E15</f>
        <v>625.50000000000011</v>
      </c>
      <c r="AL15" s="373">
        <f>'GLA Mayor (2)'!F15</f>
        <v>594.29999999999995</v>
      </c>
      <c r="AM15" s="351">
        <f>'GLA Mayor (2)'!G15</f>
        <v>559.00000000000011</v>
      </c>
      <c r="AP15" s="351">
        <f t="shared" si="1"/>
        <v>-10.873108669999965</v>
      </c>
      <c r="AQ15" s="351">
        <f t="shared" si="2"/>
        <v>-110.23368576000018</v>
      </c>
      <c r="AR15" s="351">
        <f t="shared" si="3"/>
        <v>-0.20000000000004547</v>
      </c>
      <c r="AS15" s="373">
        <f t="shared" si="4"/>
        <v>-0.20000000000004547</v>
      </c>
      <c r="AT15" s="351">
        <f t="shared" si="5"/>
        <v>-0.19999999999993179</v>
      </c>
    </row>
    <row r="16" spans="2:46" ht="14.25" thickBot="1">
      <c r="B16" s="310" t="s">
        <v>110</v>
      </c>
      <c r="C16" s="309">
        <v>1</v>
      </c>
      <c r="D16" s="309">
        <v>1</v>
      </c>
      <c r="E16" s="317">
        <v>1</v>
      </c>
      <c r="F16" s="309">
        <v>1</v>
      </c>
      <c r="G16" s="309">
        <v>1</v>
      </c>
      <c r="I16" s="294" t="s">
        <v>642</v>
      </c>
      <c r="J16" s="296">
        <f t="shared" ref="J16:P16" si="9">SUM(J7:J14)</f>
        <v>206.76664616999992</v>
      </c>
      <c r="K16" s="350">
        <f t="shared" si="9"/>
        <v>370.9654625</v>
      </c>
      <c r="L16" s="296">
        <f t="shared" si="9"/>
        <v>577.73210867</v>
      </c>
      <c r="M16" s="296">
        <f t="shared" si="9"/>
        <v>76.706819999999993</v>
      </c>
      <c r="N16" s="296">
        <f t="shared" si="9"/>
        <v>21.898757090000029</v>
      </c>
      <c r="O16" s="296">
        <f t="shared" si="9"/>
        <v>-2.3449999999999998</v>
      </c>
      <c r="P16" s="296">
        <f t="shared" si="9"/>
        <v>673.99268576000031</v>
      </c>
      <c r="AI16" s="351">
        <f>'GLA Mayor (2)'!C16</f>
        <v>1</v>
      </c>
      <c r="AJ16" s="351">
        <f>'GLA Mayor (2)'!D16</f>
        <v>1</v>
      </c>
      <c r="AK16" s="351">
        <f>'GLA Mayor (2)'!E16</f>
        <v>1</v>
      </c>
      <c r="AL16" s="373">
        <f>'GLA Mayor (2)'!F16</f>
        <v>1</v>
      </c>
      <c r="AM16" s="351">
        <f>'GLA Mayor (2)'!G16</f>
        <v>1</v>
      </c>
      <c r="AP16" s="351">
        <f t="shared" si="1"/>
        <v>0</v>
      </c>
      <c r="AQ16" s="351">
        <f t="shared" si="2"/>
        <v>0</v>
      </c>
      <c r="AR16" s="351">
        <f t="shared" si="3"/>
        <v>0</v>
      </c>
      <c r="AS16" s="373">
        <f t="shared" si="4"/>
        <v>0</v>
      </c>
      <c r="AT16" s="351">
        <f t="shared" si="5"/>
        <v>0</v>
      </c>
    </row>
    <row r="17" spans="2:46" ht="14.25" thickBot="1">
      <c r="B17" s="314" t="s">
        <v>250</v>
      </c>
      <c r="C17" s="318">
        <f>SUM(C16:C16)</f>
        <v>1</v>
      </c>
      <c r="D17" s="318">
        <f>SUM(D16:D16)</f>
        <v>1</v>
      </c>
      <c r="E17" s="319">
        <f>SUM(E16:E16)</f>
        <v>1</v>
      </c>
      <c r="F17" s="318">
        <f>SUM(F16:F16)</f>
        <v>1</v>
      </c>
      <c r="G17" s="318">
        <f>SUM(G16:G16)</f>
        <v>1</v>
      </c>
      <c r="H17" s="296">
        <f>E17-C17</f>
        <v>0</v>
      </c>
      <c r="Q17" s="296"/>
      <c r="R17" s="296"/>
      <c r="S17" s="296"/>
      <c r="AI17" s="351">
        <f>'GLA Mayor (2)'!C17</f>
        <v>1</v>
      </c>
      <c r="AJ17" s="351">
        <f>'GLA Mayor (2)'!D17</f>
        <v>1</v>
      </c>
      <c r="AK17" s="351">
        <f>'GLA Mayor (2)'!E17</f>
        <v>1</v>
      </c>
      <c r="AL17" s="373">
        <f>'GLA Mayor (2)'!F17</f>
        <v>1</v>
      </c>
      <c r="AM17" s="351">
        <f>'GLA Mayor (2)'!G17</f>
        <v>1</v>
      </c>
      <c r="AP17" s="351">
        <f t="shared" si="1"/>
        <v>0</v>
      </c>
      <c r="AQ17" s="351">
        <f t="shared" si="2"/>
        <v>0</v>
      </c>
      <c r="AR17" s="351">
        <f t="shared" si="3"/>
        <v>0</v>
      </c>
      <c r="AS17" s="373">
        <f t="shared" si="4"/>
        <v>0</v>
      </c>
      <c r="AT17" s="351">
        <f t="shared" si="5"/>
        <v>0</v>
      </c>
    </row>
    <row r="18" spans="2:46" ht="13.9">
      <c r="B18" s="310" t="s">
        <v>83</v>
      </c>
      <c r="C18" s="309">
        <v>130</v>
      </c>
      <c r="D18" s="309">
        <v>130</v>
      </c>
      <c r="E18" s="317">
        <v>130</v>
      </c>
      <c r="F18" s="309">
        <v>130</v>
      </c>
      <c r="G18" s="309">
        <v>130</v>
      </c>
      <c r="I18" s="294" t="s">
        <v>94</v>
      </c>
      <c r="J18" s="351">
        <v>2.1</v>
      </c>
      <c r="K18" s="294" t="s">
        <v>1013</v>
      </c>
      <c r="L18" s="296"/>
      <c r="M18" s="296"/>
      <c r="N18" s="296"/>
      <c r="O18" s="296"/>
      <c r="P18" s="296"/>
      <c r="AI18" s="351">
        <f>'GLA Mayor (2)'!C18</f>
        <v>130</v>
      </c>
      <c r="AJ18" s="351">
        <f>'GLA Mayor (2)'!D18</f>
        <v>130</v>
      </c>
      <c r="AK18" s="351">
        <f>'GLA Mayor (2)'!E18</f>
        <v>130</v>
      </c>
      <c r="AL18" s="373">
        <f>'GLA Mayor (2)'!F18</f>
        <v>130</v>
      </c>
      <c r="AM18" s="351">
        <f>'GLA Mayor (2)'!G18</f>
        <v>130</v>
      </c>
      <c r="AP18" s="351">
        <f t="shared" si="1"/>
        <v>0</v>
      </c>
      <c r="AQ18" s="351">
        <f t="shared" si="2"/>
        <v>0</v>
      </c>
      <c r="AR18" s="351">
        <f t="shared" si="3"/>
        <v>0</v>
      </c>
      <c r="AS18" s="373">
        <f t="shared" si="4"/>
        <v>0</v>
      </c>
      <c r="AT18" s="351">
        <f t="shared" si="5"/>
        <v>0</v>
      </c>
    </row>
    <row r="19" spans="2:46" ht="13.9">
      <c r="B19" s="310" t="s">
        <v>102</v>
      </c>
      <c r="C19" s="309">
        <v>20</v>
      </c>
      <c r="D19" s="309">
        <v>20</v>
      </c>
      <c r="E19" s="317">
        <v>20</v>
      </c>
      <c r="F19" s="309">
        <v>20</v>
      </c>
      <c r="G19" s="309">
        <v>20</v>
      </c>
      <c r="I19" s="294" t="s">
        <v>94</v>
      </c>
      <c r="J19" s="351">
        <v>3.3</v>
      </c>
      <c r="K19" s="427" t="s">
        <v>1014</v>
      </c>
      <c r="AI19" s="351">
        <f>'GLA Mayor (2)'!C19</f>
        <v>20</v>
      </c>
      <c r="AJ19" s="351">
        <f>'GLA Mayor (2)'!D19</f>
        <v>20</v>
      </c>
      <c r="AK19" s="351">
        <f>'GLA Mayor (2)'!E19</f>
        <v>20</v>
      </c>
      <c r="AL19" s="373">
        <f>'GLA Mayor (2)'!F19</f>
        <v>20</v>
      </c>
      <c r="AM19" s="351">
        <f>'GLA Mayor (2)'!G19</f>
        <v>20</v>
      </c>
      <c r="AP19" s="351">
        <f t="shared" si="1"/>
        <v>0</v>
      </c>
      <c r="AQ19" s="351">
        <f t="shared" si="2"/>
        <v>0</v>
      </c>
      <c r="AR19" s="351">
        <f t="shared" si="3"/>
        <v>0</v>
      </c>
      <c r="AS19" s="373">
        <f t="shared" si="4"/>
        <v>0</v>
      </c>
      <c r="AT19" s="351">
        <f t="shared" si="5"/>
        <v>0</v>
      </c>
    </row>
    <row r="20" spans="2:46" ht="13.9">
      <c r="B20" s="310" t="s">
        <v>108</v>
      </c>
      <c r="C20" s="309">
        <f>3.4-1.7</f>
        <v>1.7</v>
      </c>
      <c r="D20" s="309">
        <v>3.279423</v>
      </c>
      <c r="E20" s="317">
        <v>1.8</v>
      </c>
      <c r="F20" s="309">
        <v>1.6</v>
      </c>
      <c r="G20" s="309">
        <v>1.5</v>
      </c>
      <c r="I20" s="294" t="s">
        <v>94</v>
      </c>
      <c r="J20" s="351">
        <v>4.9000000000000004</v>
      </c>
      <c r="K20" s="427" t="s">
        <v>1015</v>
      </c>
      <c r="AI20" s="351">
        <f>'GLA Mayor (2)'!C20</f>
        <v>3.4</v>
      </c>
      <c r="AJ20" s="351">
        <f>'GLA Mayor (2)'!D20</f>
        <v>3.32</v>
      </c>
      <c r="AK20" s="351">
        <f>'GLA Mayor (2)'!E20</f>
        <v>1.8</v>
      </c>
      <c r="AL20" s="373">
        <f>'GLA Mayor (2)'!F20</f>
        <v>1.6</v>
      </c>
      <c r="AM20" s="351">
        <f>'GLA Mayor (2)'!G20</f>
        <v>1.5</v>
      </c>
      <c r="AP20" s="351">
        <f t="shared" si="1"/>
        <v>1.7</v>
      </c>
      <c r="AQ20" s="351">
        <f t="shared" si="2"/>
        <v>4.0576999999999863E-2</v>
      </c>
      <c r="AR20" s="351">
        <f t="shared" si="3"/>
        <v>0</v>
      </c>
      <c r="AS20" s="373">
        <f t="shared" si="4"/>
        <v>0</v>
      </c>
      <c r="AT20" s="351">
        <f t="shared" si="5"/>
        <v>0</v>
      </c>
    </row>
    <row r="21" spans="2:46" ht="27.4" thickBot="1">
      <c r="B21" s="320" t="s">
        <v>105</v>
      </c>
      <c r="C21" s="311">
        <v>0</v>
      </c>
      <c r="D21" s="311">
        <v>0</v>
      </c>
      <c r="E21" s="312">
        <v>11.8</v>
      </c>
      <c r="F21" s="311">
        <v>11.8</v>
      </c>
      <c r="G21" s="311">
        <v>11.8</v>
      </c>
      <c r="I21" s="294" t="s">
        <v>94</v>
      </c>
      <c r="J21" s="351">
        <v>15.8</v>
      </c>
      <c r="K21" s="427" t="s">
        <v>1016</v>
      </c>
      <c r="AI21" s="351">
        <f>'GLA Mayor (2)'!C21</f>
        <v>0</v>
      </c>
      <c r="AJ21" s="351">
        <f>'GLA Mayor (2)'!D21</f>
        <v>0</v>
      </c>
      <c r="AK21" s="351">
        <f>'GLA Mayor (2)'!E21</f>
        <v>11.8</v>
      </c>
      <c r="AL21" s="373">
        <f>'GLA Mayor (2)'!F21</f>
        <v>11.8</v>
      </c>
      <c r="AM21" s="351">
        <f>'GLA Mayor (2)'!G21</f>
        <v>11.8</v>
      </c>
      <c r="AP21" s="351">
        <f t="shared" si="1"/>
        <v>0</v>
      </c>
      <c r="AQ21" s="351">
        <f t="shared" si="2"/>
        <v>0</v>
      </c>
      <c r="AR21" s="351">
        <f t="shared" si="3"/>
        <v>0</v>
      </c>
      <c r="AS21" s="373">
        <f t="shared" si="4"/>
        <v>0</v>
      </c>
      <c r="AT21" s="351">
        <f t="shared" si="5"/>
        <v>0</v>
      </c>
    </row>
    <row r="22" spans="2:46" ht="14.25" thickBot="1">
      <c r="B22" s="321" t="s">
        <v>251</v>
      </c>
      <c r="C22" s="315">
        <f>SUM(C18:C21)</f>
        <v>151.69999999999999</v>
      </c>
      <c r="D22" s="315">
        <f>SUM(D18:D21)</f>
        <v>153.27942300000001</v>
      </c>
      <c r="E22" s="322">
        <f>SUM(E18:E21)</f>
        <v>163.60000000000002</v>
      </c>
      <c r="F22" s="315">
        <f>SUM(F18:F21)</f>
        <v>163.4</v>
      </c>
      <c r="G22" s="315">
        <f>SUM(G18:G21)</f>
        <v>163.30000000000001</v>
      </c>
      <c r="H22" s="296">
        <f>E22-C22</f>
        <v>11.900000000000034</v>
      </c>
      <c r="I22" s="427" t="s">
        <v>247</v>
      </c>
      <c r="J22" s="351">
        <v>36.9</v>
      </c>
      <c r="K22" s="427" t="s">
        <v>1017</v>
      </c>
      <c r="Q22" s="296"/>
      <c r="R22" s="296"/>
      <c r="S22" s="296"/>
      <c r="AI22" s="351">
        <f>'GLA Mayor (2)'!C22</f>
        <v>153.4</v>
      </c>
      <c r="AJ22" s="351">
        <f>'GLA Mayor (2)'!D22</f>
        <v>153.32</v>
      </c>
      <c r="AK22" s="351">
        <f>'GLA Mayor (2)'!E22</f>
        <v>163.60000000000002</v>
      </c>
      <c r="AL22" s="373">
        <f>'GLA Mayor (2)'!F22</f>
        <v>163.4</v>
      </c>
      <c r="AM22" s="351">
        <f>'GLA Mayor (2)'!G22</f>
        <v>163.30000000000001</v>
      </c>
      <c r="AP22" s="351">
        <f t="shared" si="1"/>
        <v>1.7000000000000171</v>
      </c>
      <c r="AQ22" s="351">
        <f t="shared" si="2"/>
        <v>4.0576999999984764E-2</v>
      </c>
      <c r="AR22" s="351">
        <f t="shared" si="3"/>
        <v>0</v>
      </c>
      <c r="AS22" s="373">
        <f t="shared" si="4"/>
        <v>0</v>
      </c>
      <c r="AT22" s="351">
        <f t="shared" si="5"/>
        <v>0</v>
      </c>
    </row>
    <row r="23" spans="2:46" ht="13.9">
      <c r="B23" s="310" t="s">
        <v>252</v>
      </c>
      <c r="C23" s="309">
        <v>-27</v>
      </c>
      <c r="D23" s="309">
        <f>-54.94</f>
        <v>-54.94</v>
      </c>
      <c r="E23" s="317">
        <f>-34.2-E20</f>
        <v>-36</v>
      </c>
      <c r="F23" s="309">
        <f>-29.8-F20</f>
        <v>-31.400000000000002</v>
      </c>
      <c r="G23" s="309">
        <f>-24.8-G20</f>
        <v>-26.3</v>
      </c>
      <c r="H23" s="296"/>
      <c r="I23" s="294" t="s">
        <v>247</v>
      </c>
      <c r="J23" s="351">
        <v>2.8</v>
      </c>
      <c r="K23" s="294" t="s">
        <v>1018</v>
      </c>
      <c r="L23" s="296"/>
      <c r="M23" s="296"/>
      <c r="N23" s="296"/>
      <c r="O23" s="296"/>
      <c r="P23" s="296"/>
      <c r="Q23" s="296"/>
      <c r="R23" s="296"/>
      <c r="S23" s="296"/>
      <c r="AI23" s="351">
        <f>'GLA Mayor (2)'!C23</f>
        <v>-27</v>
      </c>
      <c r="AJ23" s="351">
        <f>'GLA Mayor (2)'!D23</f>
        <v>-54.94</v>
      </c>
      <c r="AK23" s="351">
        <f>'GLA Mayor (2)'!E23</f>
        <v>-36</v>
      </c>
      <c r="AL23" s="373">
        <f>'GLA Mayor (2)'!F23</f>
        <v>-31.4</v>
      </c>
      <c r="AM23" s="351">
        <f>'GLA Mayor (2)'!G23</f>
        <v>-26.3</v>
      </c>
      <c r="AP23" s="351">
        <f t="shared" si="1"/>
        <v>0</v>
      </c>
      <c r="AQ23" s="351">
        <f t="shared" si="2"/>
        <v>0</v>
      </c>
      <c r="AR23" s="351">
        <f t="shared" si="3"/>
        <v>0</v>
      </c>
      <c r="AS23" s="373">
        <f t="shared" si="4"/>
        <v>0</v>
      </c>
      <c r="AT23" s="351">
        <f t="shared" si="5"/>
        <v>0</v>
      </c>
    </row>
    <row r="24" spans="2:46" ht="13.9">
      <c r="B24" s="310" t="s">
        <v>253</v>
      </c>
      <c r="C24" s="309">
        <v>-130</v>
      </c>
      <c r="D24" s="309">
        <v>-130</v>
      </c>
      <c r="E24" s="317">
        <v>-130</v>
      </c>
      <c r="F24" s="309">
        <v>-130</v>
      </c>
      <c r="G24" s="309">
        <v>-130</v>
      </c>
      <c r="H24" s="296"/>
      <c r="I24" s="350" t="s">
        <v>258</v>
      </c>
      <c r="J24" s="373">
        <f>SUM(J18:J23)</f>
        <v>65.8</v>
      </c>
      <c r="K24" s="350" t="s">
        <v>1019</v>
      </c>
      <c r="L24" s="296"/>
      <c r="M24" s="296"/>
      <c r="N24" s="296"/>
      <c r="O24" s="296"/>
      <c r="P24" s="296"/>
      <c r="Q24" s="296"/>
      <c r="R24" s="296"/>
      <c r="S24" s="296"/>
      <c r="AI24" s="351">
        <f>'GLA Mayor (2)'!C24</f>
        <v>-130</v>
      </c>
      <c r="AJ24" s="351">
        <f>'GLA Mayor (2)'!D24</f>
        <v>-130</v>
      </c>
      <c r="AK24" s="351">
        <f>'GLA Mayor (2)'!E24</f>
        <v>-130</v>
      </c>
      <c r="AL24" s="373">
        <f>'GLA Mayor (2)'!F24</f>
        <v>-130</v>
      </c>
      <c r="AM24" s="351">
        <f>'GLA Mayor (2)'!G24</f>
        <v>-130</v>
      </c>
      <c r="AP24" s="351">
        <f t="shared" si="1"/>
        <v>0</v>
      </c>
      <c r="AQ24" s="351">
        <f t="shared" si="2"/>
        <v>0</v>
      </c>
      <c r="AR24" s="351">
        <f t="shared" si="3"/>
        <v>0</v>
      </c>
      <c r="AS24" s="373">
        <f t="shared" si="4"/>
        <v>0</v>
      </c>
      <c r="AT24" s="351">
        <f t="shared" si="5"/>
        <v>0</v>
      </c>
    </row>
    <row r="25" spans="2:46" ht="13.9">
      <c r="B25" s="310" t="s">
        <v>254</v>
      </c>
      <c r="C25" s="309">
        <v>-20</v>
      </c>
      <c r="D25" s="309">
        <v>-20</v>
      </c>
      <c r="E25" s="317">
        <v>-20</v>
      </c>
      <c r="F25" s="309">
        <v>-20</v>
      </c>
      <c r="G25" s="309">
        <v>-20</v>
      </c>
      <c r="H25" s="296"/>
      <c r="I25" s="413" t="s">
        <v>1021</v>
      </c>
      <c r="J25" s="296">
        <v>10.9</v>
      </c>
      <c r="K25" s="350" t="s">
        <v>1020</v>
      </c>
      <c r="L25" s="296"/>
      <c r="M25" s="296"/>
      <c r="N25" s="296"/>
      <c r="O25" s="296"/>
      <c r="P25" s="296"/>
      <c r="Q25" s="296"/>
      <c r="R25" s="296"/>
      <c r="S25" s="296"/>
      <c r="AI25" s="351">
        <f>'GLA Mayor (2)'!C25</f>
        <v>-20</v>
      </c>
      <c r="AJ25" s="351">
        <f>'GLA Mayor (2)'!D25</f>
        <v>-20</v>
      </c>
      <c r="AK25" s="351">
        <f>'GLA Mayor (2)'!E25</f>
        <v>-20</v>
      </c>
      <c r="AL25" s="373">
        <f>'GLA Mayor (2)'!F25</f>
        <v>-20</v>
      </c>
      <c r="AM25" s="351">
        <f>'GLA Mayor (2)'!G25</f>
        <v>-20</v>
      </c>
      <c r="AP25" s="351">
        <f t="shared" si="1"/>
        <v>0</v>
      </c>
      <c r="AQ25" s="351">
        <f t="shared" si="2"/>
        <v>0</v>
      </c>
      <c r="AR25" s="351">
        <f t="shared" si="3"/>
        <v>0</v>
      </c>
      <c r="AS25" s="373">
        <f t="shared" si="4"/>
        <v>0</v>
      </c>
      <c r="AT25" s="351">
        <f t="shared" si="5"/>
        <v>0</v>
      </c>
    </row>
    <row r="26" spans="2:46" ht="14.25" thickBot="1">
      <c r="B26" s="320" t="s">
        <v>255</v>
      </c>
      <c r="C26" s="311">
        <v>-15</v>
      </c>
      <c r="D26" s="311">
        <v>-12.2</v>
      </c>
      <c r="E26" s="312">
        <v>-15</v>
      </c>
      <c r="F26" s="311">
        <v>-15</v>
      </c>
      <c r="G26" s="311">
        <v>-15</v>
      </c>
      <c r="H26" s="296"/>
      <c r="I26" s="413"/>
      <c r="J26" s="296"/>
      <c r="K26" s="350"/>
      <c r="L26" s="296"/>
      <c r="M26" s="296"/>
      <c r="N26" s="296"/>
      <c r="O26" s="296"/>
      <c r="P26" s="296"/>
      <c r="Q26" s="296"/>
      <c r="R26" s="296"/>
      <c r="S26" s="296"/>
      <c r="AI26" s="351">
        <f>'GLA Mayor (2)'!C26</f>
        <v>-15</v>
      </c>
      <c r="AJ26" s="351">
        <f>'GLA Mayor (2)'!D26</f>
        <v>-12.2</v>
      </c>
      <c r="AK26" s="351">
        <f>'GLA Mayor (2)'!E26</f>
        <v>-15</v>
      </c>
      <c r="AL26" s="373">
        <f>'GLA Mayor (2)'!F26</f>
        <v>-15</v>
      </c>
      <c r="AM26" s="351">
        <f>'GLA Mayor (2)'!G26</f>
        <v>-15</v>
      </c>
      <c r="AP26" s="351">
        <f t="shared" si="1"/>
        <v>0</v>
      </c>
      <c r="AQ26" s="351">
        <f t="shared" si="2"/>
        <v>0</v>
      </c>
      <c r="AR26" s="351">
        <f t="shared" si="3"/>
        <v>0</v>
      </c>
      <c r="AS26" s="373">
        <f t="shared" si="4"/>
        <v>0</v>
      </c>
      <c r="AT26" s="351">
        <f t="shared" si="5"/>
        <v>0</v>
      </c>
    </row>
    <row r="27" spans="2:46" ht="14.25" thickBot="1">
      <c r="B27" s="321" t="s">
        <v>75</v>
      </c>
      <c r="C27" s="315">
        <f>SUM(C23:C26)</f>
        <v>-192</v>
      </c>
      <c r="D27" s="315">
        <f>SUM(D23:D26)</f>
        <v>-217.14</v>
      </c>
      <c r="E27" s="316">
        <f>SUM(E23:E26)</f>
        <v>-201</v>
      </c>
      <c r="F27" s="315">
        <f>SUM(F23:F26)</f>
        <v>-196.4</v>
      </c>
      <c r="G27" s="315">
        <f>SUM(G23:G26)</f>
        <v>-191.3</v>
      </c>
      <c r="H27" s="296">
        <f>E27-C27</f>
        <v>-9</v>
      </c>
      <c r="I27" s="413"/>
      <c r="J27" s="296"/>
      <c r="K27" s="350"/>
      <c r="L27" s="296"/>
      <c r="M27" s="296"/>
      <c r="N27" s="296"/>
      <c r="O27" s="296"/>
      <c r="P27" s="296"/>
      <c r="Q27" s="296"/>
      <c r="R27" s="296"/>
      <c r="S27" s="296"/>
      <c r="AI27" s="351">
        <f>'GLA Mayor (2)'!C27</f>
        <v>-192</v>
      </c>
      <c r="AJ27" s="351">
        <f>'GLA Mayor (2)'!D27</f>
        <v>-217.14</v>
      </c>
      <c r="AK27" s="351">
        <f>'GLA Mayor (2)'!E27</f>
        <v>-201</v>
      </c>
      <c r="AL27" s="373">
        <f>'GLA Mayor (2)'!F27</f>
        <v>-196.4</v>
      </c>
      <c r="AM27" s="351">
        <f>'GLA Mayor (2)'!G27</f>
        <v>-191.3</v>
      </c>
      <c r="AP27" s="351">
        <f t="shared" si="1"/>
        <v>0</v>
      </c>
      <c r="AQ27" s="351">
        <f t="shared" si="2"/>
        <v>0</v>
      </c>
      <c r="AR27" s="351">
        <f t="shared" si="3"/>
        <v>0</v>
      </c>
      <c r="AS27" s="373">
        <f t="shared" si="4"/>
        <v>0</v>
      </c>
      <c r="AT27" s="351">
        <f t="shared" si="5"/>
        <v>0</v>
      </c>
    </row>
    <row r="28" spans="2:46" ht="13.9">
      <c r="B28" s="310" t="s">
        <v>645</v>
      </c>
      <c r="C28" s="309">
        <v>78.900000000000006</v>
      </c>
      <c r="D28" s="309">
        <v>6.2</v>
      </c>
      <c r="E28" s="317">
        <v>-28.720268000000001</v>
      </c>
      <c r="F28" s="309">
        <v>-15.881070000000001</v>
      </c>
      <c r="G28" s="309">
        <v>2.4091879999999999</v>
      </c>
      <c r="H28" s="296">
        <f>E28-C28</f>
        <v>-107.62026800000001</v>
      </c>
      <c r="I28" s="413"/>
      <c r="J28" s="296"/>
      <c r="K28" s="350"/>
      <c r="L28" s="296"/>
      <c r="M28" s="296"/>
      <c r="N28" s="296"/>
      <c r="O28" s="296"/>
      <c r="P28" s="296"/>
      <c r="Z28" s="351">
        <f>'GLA Mayor (2)'!C28</f>
        <v>87.339422895145091</v>
      </c>
      <c r="AA28" s="351">
        <f>'GLA Mayor (2)'!D28</f>
        <v>115.659423</v>
      </c>
      <c r="AB28" s="351">
        <f>'GLA Mayor (2)'!E28</f>
        <v>-28.520267955235632</v>
      </c>
      <c r="AC28" s="373">
        <f>'GLA Mayor (2)'!F28</f>
        <v>-15.781070222916707</v>
      </c>
      <c r="AD28" s="351">
        <f>'GLA Mayor (2)'!G28</f>
        <v>2.6091883726249336</v>
      </c>
      <c r="AG28" s="351">
        <f t="shared" ref="AG28:AK32" si="10">Z28-C28</f>
        <v>8.4394228951450856</v>
      </c>
      <c r="AH28" s="351">
        <f t="shared" si="10"/>
        <v>109.459423</v>
      </c>
      <c r="AI28" s="351">
        <f t="shared" si="10"/>
        <v>0.20000004476436928</v>
      </c>
      <c r="AJ28" s="373">
        <f t="shared" si="10"/>
        <v>9.9999777083294106E-2</v>
      </c>
      <c r="AK28" s="351">
        <f t="shared" si="10"/>
        <v>0.20000037262493375</v>
      </c>
    </row>
    <row r="29" spans="2:46" ht="13.9">
      <c r="B29" s="310" t="s">
        <v>256</v>
      </c>
      <c r="C29" s="309">
        <v>-41.9</v>
      </c>
      <c r="D29" s="309">
        <v>-41.9</v>
      </c>
      <c r="E29" s="317">
        <v>-11.8</v>
      </c>
      <c r="F29" s="309">
        <v>-11.8</v>
      </c>
      <c r="G29" s="309">
        <v>0</v>
      </c>
      <c r="H29" s="296">
        <f>E29-C29</f>
        <v>30.099999999999998</v>
      </c>
      <c r="Z29" s="351">
        <f>'GLA Mayor (2)'!C29</f>
        <v>-41.9</v>
      </c>
      <c r="AA29" s="351">
        <f>'GLA Mayor (2)'!D29</f>
        <v>-41.9</v>
      </c>
      <c r="AB29" s="351">
        <f>'GLA Mayor (2)'!E29</f>
        <v>-11.8</v>
      </c>
      <c r="AC29" s="373">
        <f>'GLA Mayor (2)'!F29</f>
        <v>-11.8</v>
      </c>
      <c r="AD29" s="351">
        <f>'GLA Mayor (2)'!G29</f>
        <v>0</v>
      </c>
      <c r="AG29" s="351">
        <f t="shared" si="10"/>
        <v>0</v>
      </c>
      <c r="AH29" s="351">
        <f t="shared" si="10"/>
        <v>0</v>
      </c>
      <c r="AI29" s="351">
        <f t="shared" si="10"/>
        <v>0</v>
      </c>
      <c r="AJ29" s="373">
        <f t="shared" si="10"/>
        <v>0</v>
      </c>
      <c r="AK29" s="351">
        <f t="shared" si="10"/>
        <v>0</v>
      </c>
    </row>
    <row r="30" spans="2:46" ht="14.25" thickBot="1">
      <c r="B30" s="320" t="s">
        <v>643</v>
      </c>
      <c r="C30" s="311">
        <v>0</v>
      </c>
      <c r="D30" s="311">
        <v>0</v>
      </c>
      <c r="E30" s="312">
        <v>0</v>
      </c>
      <c r="F30" s="311">
        <v>-9</v>
      </c>
      <c r="G30" s="311">
        <v>-21</v>
      </c>
      <c r="I30" s="428">
        <f>SUM(H28:H29)</f>
        <v>-77.520268000000016</v>
      </c>
      <c r="J30" s="351" t="s">
        <v>667</v>
      </c>
      <c r="Z30" s="351">
        <f>'GLA Mayor (2)'!C30</f>
        <v>0</v>
      </c>
      <c r="AA30" s="351">
        <f>'GLA Mayor (2)'!D30</f>
        <v>0</v>
      </c>
      <c r="AB30" s="351">
        <f>'GLA Mayor (2)'!E30</f>
        <v>0</v>
      </c>
      <c r="AC30" s="373">
        <f>'GLA Mayor (2)'!F30</f>
        <v>-8.9</v>
      </c>
      <c r="AD30" s="351">
        <f>'GLA Mayor (2)'!G30</f>
        <v>-21</v>
      </c>
      <c r="AG30" s="351">
        <f t="shared" si="10"/>
        <v>0</v>
      </c>
      <c r="AH30" s="351">
        <f t="shared" si="10"/>
        <v>0</v>
      </c>
      <c r="AI30" s="351">
        <f t="shared" si="10"/>
        <v>0</v>
      </c>
      <c r="AJ30" s="373">
        <f t="shared" si="10"/>
        <v>9.9999999999999645E-2</v>
      </c>
      <c r="AK30" s="351">
        <f t="shared" si="10"/>
        <v>0</v>
      </c>
    </row>
    <row r="31" spans="2:46" ht="14.25" thickBot="1">
      <c r="B31" s="321" t="s">
        <v>257</v>
      </c>
      <c r="C31" s="315">
        <f>C15+C17+C22+C27+SUM(C28:C30)</f>
        <v>575.43210866999993</v>
      </c>
      <c r="D31" s="315">
        <f t="shared" ref="D31:G31" si="11">D15+D17+D22+D27+SUM(D28:D30)</f>
        <v>575.43210876000023</v>
      </c>
      <c r="E31" s="316">
        <f t="shared" si="11"/>
        <v>548.77973200000019</v>
      </c>
      <c r="F31" s="315">
        <f t="shared" si="11"/>
        <v>525.81893000000002</v>
      </c>
      <c r="G31" s="315">
        <f t="shared" si="11"/>
        <v>513.60918800000002</v>
      </c>
      <c r="H31" s="296">
        <f t="shared" ref="H31:H32" si="12">E31-C31</f>
        <v>-26.65237666999974</v>
      </c>
      <c r="Z31" s="351">
        <f>'GLA Mayor (2)'!C31</f>
        <v>574.69842289514509</v>
      </c>
      <c r="AA31" s="351">
        <f>'GLA Mayor (2)'!D31</f>
        <v>574.69842300000016</v>
      </c>
      <c r="AB31" s="351">
        <f>'GLA Mayor (2)'!E31</f>
        <v>548.7797320447645</v>
      </c>
      <c r="AC31" s="373">
        <f>'GLA Mayor (2)'!F31</f>
        <v>525.81892977708321</v>
      </c>
      <c r="AD31" s="351">
        <f>'GLA Mayor (2)'!G31</f>
        <v>513.60918837262511</v>
      </c>
      <c r="AG31" s="351">
        <f t="shared" si="10"/>
        <v>-0.7336857748548482</v>
      </c>
      <c r="AH31" s="351">
        <f t="shared" si="10"/>
        <v>-0.73368576000007124</v>
      </c>
      <c r="AI31" s="351">
        <f t="shared" si="10"/>
        <v>4.4764306039724033E-8</v>
      </c>
      <c r="AJ31" s="373">
        <f t="shared" si="10"/>
        <v>-2.2291681034403155E-7</v>
      </c>
      <c r="AK31" s="351">
        <f t="shared" si="10"/>
        <v>3.7262509522406617E-7</v>
      </c>
    </row>
    <row r="32" spans="2:46" ht="13.9">
      <c r="B32" s="323" t="s">
        <v>258</v>
      </c>
      <c r="C32" s="324">
        <v>371.69868600000001</v>
      </c>
      <c r="D32" s="324">
        <f>C32</f>
        <v>371.69868600000001</v>
      </c>
      <c r="E32" s="325">
        <v>425.56700000000001</v>
      </c>
      <c r="F32" s="351">
        <v>400.10599999999999</v>
      </c>
      <c r="G32" s="351">
        <v>386.03800000000001</v>
      </c>
      <c r="H32" s="296">
        <f t="shared" si="12"/>
        <v>53.868313999999998</v>
      </c>
      <c r="I32" s="428">
        <f>H31-I30</f>
        <v>50.867891330000276</v>
      </c>
      <c r="J32" s="351" t="s">
        <v>668</v>
      </c>
      <c r="Z32" s="351">
        <f>'GLA Mayor (2)'!C32</f>
        <v>370.96499999999997</v>
      </c>
      <c r="AA32" s="351">
        <f>'GLA Mayor (2)'!D32</f>
        <v>370.96499999999997</v>
      </c>
      <c r="AB32" s="351">
        <f>'GLA Mayor (2)'!E32</f>
        <v>425.56700000000001</v>
      </c>
      <c r="AC32" s="373">
        <f>'GLA Mayor (2)'!F32</f>
        <v>400.10599999999999</v>
      </c>
      <c r="AD32" s="351">
        <f>'GLA Mayor (2)'!G32</f>
        <v>386.03800000000001</v>
      </c>
      <c r="AG32" s="351">
        <f t="shared" si="10"/>
        <v>-0.73368600000003426</v>
      </c>
      <c r="AH32" s="351">
        <f t="shared" si="10"/>
        <v>-0.73368600000003426</v>
      </c>
      <c r="AI32" s="351">
        <f t="shared" si="10"/>
        <v>0</v>
      </c>
      <c r="AJ32" s="373">
        <f t="shared" si="10"/>
        <v>0</v>
      </c>
      <c r="AK32" s="351">
        <f t="shared" si="10"/>
        <v>0</v>
      </c>
    </row>
    <row r="33" spans="2:36" ht="14.25" thickBot="1">
      <c r="B33" s="326" t="s">
        <v>238</v>
      </c>
      <c r="C33" s="327">
        <v>125.05744598477598</v>
      </c>
      <c r="D33" s="327">
        <v>125.05744598477598</v>
      </c>
      <c r="E33" s="307">
        <v>56.436755134395391</v>
      </c>
      <c r="F33" s="351">
        <v>57.712929777083303</v>
      </c>
      <c r="G33" s="351">
        <v>58.871188372624999</v>
      </c>
      <c r="Y33" s="351">
        <f>'GLA Mayor (2)'!C33</f>
        <v>125.05744598477598</v>
      </c>
      <c r="Z33" s="351">
        <f>'GLA Mayor (2)'!D33</f>
        <v>125.05744598477598</v>
      </c>
      <c r="AA33" s="351">
        <f>'GLA Mayor (2)'!E33</f>
        <v>56.436755134395391</v>
      </c>
      <c r="AB33" s="373">
        <f>'GLA Mayor (2)'!F33</f>
        <v>57.712929777083303</v>
      </c>
      <c r="AC33" s="351">
        <f>'GLA Mayor (2)'!G33</f>
        <v>58.871188372624999</v>
      </c>
      <c r="AF33" s="351">
        <f t="shared" ref="AF33:AJ36" si="13">Y33-C33</f>
        <v>0</v>
      </c>
      <c r="AG33" s="351">
        <f t="shared" si="13"/>
        <v>0</v>
      </c>
      <c r="AH33" s="351">
        <f t="shared" si="13"/>
        <v>0</v>
      </c>
      <c r="AI33" s="373">
        <f t="shared" si="13"/>
        <v>0</v>
      </c>
      <c r="AJ33" s="351">
        <f t="shared" si="13"/>
        <v>0</v>
      </c>
    </row>
    <row r="34" spans="2:36" ht="14.25" thickBot="1">
      <c r="B34" s="328" t="s">
        <v>675</v>
      </c>
      <c r="C34" s="329">
        <v>12.600000000000001</v>
      </c>
      <c r="D34" s="329">
        <v>12.600000000000001</v>
      </c>
      <c r="E34" s="307">
        <v>0</v>
      </c>
      <c r="F34" s="351">
        <v>0</v>
      </c>
      <c r="G34" s="351">
        <v>0</v>
      </c>
      <c r="Y34" s="351">
        <f>'GLA Mayor (2)'!C34</f>
        <v>12.600000000000001</v>
      </c>
      <c r="Z34" s="351">
        <f>'GLA Mayor (2)'!D34</f>
        <v>12.600000000000001</v>
      </c>
      <c r="AA34" s="351">
        <f>'GLA Mayor (2)'!E34</f>
        <v>0</v>
      </c>
      <c r="AB34" s="373">
        <f>'GLA Mayor (2)'!F34</f>
        <v>0</v>
      </c>
      <c r="AC34" s="351">
        <f>'GLA Mayor (2)'!G34</f>
        <v>0</v>
      </c>
      <c r="AF34" s="351">
        <f t="shared" si="13"/>
        <v>0</v>
      </c>
      <c r="AG34" s="351">
        <f t="shared" si="13"/>
        <v>0</v>
      </c>
      <c r="AH34" s="351">
        <f t="shared" si="13"/>
        <v>0</v>
      </c>
      <c r="AI34" s="373">
        <f t="shared" si="13"/>
        <v>0</v>
      </c>
      <c r="AJ34" s="351">
        <f t="shared" si="13"/>
        <v>0</v>
      </c>
    </row>
    <row r="35" spans="2:36" ht="14.25" thickBot="1">
      <c r="B35" s="330" t="s">
        <v>260</v>
      </c>
      <c r="C35" s="331">
        <v>-0.62402308963083497</v>
      </c>
      <c r="D35" s="331">
        <v>-0.62402308963083497</v>
      </c>
      <c r="E35" s="312">
        <v>-0.62402308963083497</v>
      </c>
      <c r="F35" s="331">
        <v>0</v>
      </c>
      <c r="G35" s="331">
        <v>0</v>
      </c>
      <c r="Y35" s="351">
        <f>'GLA Mayor (2)'!C35</f>
        <v>-0.62402308963083497</v>
      </c>
      <c r="Z35" s="351">
        <f>'GLA Mayor (2)'!D35</f>
        <v>-0.62402308963083497</v>
      </c>
      <c r="AA35" s="351">
        <f>'GLA Mayor (2)'!E35</f>
        <v>-0.62402308963083497</v>
      </c>
      <c r="AB35" s="373">
        <f>'GLA Mayor (2)'!F35</f>
        <v>0</v>
      </c>
      <c r="AC35" s="351">
        <f>'GLA Mayor (2)'!G35</f>
        <v>0</v>
      </c>
      <c r="AF35" s="351">
        <f t="shared" si="13"/>
        <v>0</v>
      </c>
      <c r="AG35" s="351">
        <f t="shared" si="13"/>
        <v>0</v>
      </c>
      <c r="AH35" s="351">
        <f t="shared" si="13"/>
        <v>0</v>
      </c>
      <c r="AI35" s="373">
        <f t="shared" si="13"/>
        <v>0</v>
      </c>
      <c r="AJ35" s="351">
        <f t="shared" si="13"/>
        <v>0</v>
      </c>
    </row>
    <row r="36" spans="2:36" ht="14.25" thickBot="1">
      <c r="B36" s="332" t="s">
        <v>262</v>
      </c>
      <c r="C36" s="315">
        <f>C31-SUM(C32:C35)</f>
        <v>66.699999774854746</v>
      </c>
      <c r="D36" s="315">
        <f t="shared" ref="D36:E36" si="14">D31-SUM(D32:D35)</f>
        <v>66.699999864855045</v>
      </c>
      <c r="E36" s="316">
        <f t="shared" si="14"/>
        <v>67.399999955235614</v>
      </c>
      <c r="F36" s="315">
        <f>F31-SUM(F32:F35)</f>
        <v>68.000000222916697</v>
      </c>
      <c r="G36" s="315">
        <f t="shared" ref="G36" si="15">G31-SUM(G32:G35)</f>
        <v>68.699999627375007</v>
      </c>
      <c r="Y36" s="351">
        <f>'GLA Mayor (2)'!C36</f>
        <v>66.699999999999932</v>
      </c>
      <c r="Z36" s="351">
        <f>'GLA Mayor (2)'!D36</f>
        <v>66.700000104855008</v>
      </c>
      <c r="AA36" s="351">
        <f>'GLA Mayor (2)'!E36</f>
        <v>67.39999999999992</v>
      </c>
      <c r="AB36" s="373">
        <f>'GLA Mayor (2)'!F36</f>
        <v>67.999999999999886</v>
      </c>
      <c r="AC36" s="351">
        <f>'GLA Mayor (2)'!G36</f>
        <v>68.700000000000102</v>
      </c>
      <c r="AF36" s="351">
        <f t="shared" si="13"/>
        <v>2.2514518605021294E-7</v>
      </c>
      <c r="AG36" s="351">
        <f t="shared" si="13"/>
        <v>2.3999996301427018E-7</v>
      </c>
      <c r="AH36" s="351">
        <f t="shared" si="13"/>
        <v>4.4764306039724033E-8</v>
      </c>
      <c r="AI36" s="373">
        <f t="shared" si="13"/>
        <v>-2.2291681034403155E-7</v>
      </c>
      <c r="AJ36" s="351">
        <f t="shared" si="13"/>
        <v>3.7262509522406617E-7</v>
      </c>
    </row>
    <row r="37" spans="2:36" s="392" customFormat="1" ht="13.9">
      <c r="B37" s="333" t="s">
        <v>263</v>
      </c>
      <c r="C37" s="333" t="e">
        <f>#REF!-C179</f>
        <v>#REF!</v>
      </c>
      <c r="D37" s="333" t="e">
        <f>C37</f>
        <v>#REF!</v>
      </c>
      <c r="E37" s="333" t="e">
        <f>#REF!</f>
        <v>#REF!</v>
      </c>
      <c r="F37" s="333" t="e">
        <f>#REF!</f>
        <v>#REF!</v>
      </c>
      <c r="G37" s="333" t="e">
        <f>#REF!</f>
        <v>#REF!</v>
      </c>
      <c r="H37" s="297"/>
      <c r="I37" s="427"/>
      <c r="J37" s="351"/>
      <c r="K37" s="427"/>
      <c r="L37" s="351"/>
      <c r="M37" s="351"/>
      <c r="N37" s="351"/>
      <c r="O37" s="351"/>
      <c r="P37" s="351"/>
      <c r="Y37" s="351"/>
      <c r="Z37" s="351"/>
      <c r="AA37" s="351"/>
      <c r="AB37" s="373"/>
      <c r="AC37" s="351"/>
      <c r="AF37" s="351"/>
      <c r="AG37" s="351"/>
      <c r="AH37" s="351"/>
      <c r="AI37" s="373"/>
      <c r="AJ37" s="351"/>
    </row>
    <row r="38" spans="2:36" ht="13.9">
      <c r="B38" s="333" t="s">
        <v>264</v>
      </c>
      <c r="C38" s="390" t="e">
        <f t="shared" ref="C38:E38" si="16">ROUND(C37-C36,6)</f>
        <v>#REF!</v>
      </c>
      <c r="D38" s="390" t="e">
        <f t="shared" si="16"/>
        <v>#REF!</v>
      </c>
      <c r="E38" s="390" t="e">
        <f t="shared" si="16"/>
        <v>#REF!</v>
      </c>
      <c r="F38" s="390" t="e">
        <f>ROUND(F37-F36,6)</f>
        <v>#REF!</v>
      </c>
      <c r="G38" s="390" t="e">
        <f t="shared" ref="G38" si="17">ROUND(G37-G36,6)</f>
        <v>#REF!</v>
      </c>
      <c r="I38" s="429"/>
      <c r="J38" s="392"/>
      <c r="K38" s="429"/>
      <c r="L38" s="392"/>
      <c r="M38" s="392"/>
      <c r="N38" s="392"/>
      <c r="O38" s="392"/>
      <c r="P38" s="392"/>
      <c r="AB38" s="373"/>
      <c r="AI38" s="373"/>
    </row>
    <row r="39" spans="2:36" ht="13.9">
      <c r="B39" s="334" t="s">
        <v>265</v>
      </c>
      <c r="C39" s="390">
        <f>SUM(C32:C36)-C31</f>
        <v>0</v>
      </c>
      <c r="D39" s="390">
        <f>SUM(D32:D36)-D31</f>
        <v>0</v>
      </c>
      <c r="E39" s="390">
        <f>SUM(E32:E36)-E31</f>
        <v>0</v>
      </c>
      <c r="F39" s="390">
        <f>SUM(F32:F36)-F31</f>
        <v>0</v>
      </c>
      <c r="G39" s="390">
        <f>SUM(G32:G36)-G31</f>
        <v>0</v>
      </c>
      <c r="AB39" s="373"/>
      <c r="AI39" s="373"/>
    </row>
    <row r="40" spans="2:36" ht="13.9">
      <c r="B40" s="334"/>
      <c r="C40" s="390"/>
      <c r="D40" s="390"/>
      <c r="AI40" s="373"/>
    </row>
    <row r="41" spans="2:36" ht="13.9">
      <c r="AI41" s="373"/>
    </row>
    <row r="42" spans="2:36" ht="14.25" thickBot="1">
      <c r="B42" s="298" t="s">
        <v>266</v>
      </c>
      <c r="C42" s="391"/>
      <c r="D42" s="391"/>
      <c r="E42" s="391"/>
      <c r="F42" s="391"/>
      <c r="G42" s="391"/>
      <c r="AI42" s="373"/>
    </row>
    <row r="43" spans="2:36" ht="14.25" thickBot="1">
      <c r="B43" s="335" t="s">
        <v>267</v>
      </c>
      <c r="C43" s="336" t="s">
        <v>40</v>
      </c>
      <c r="AI43" s="373"/>
    </row>
    <row r="44" spans="2:36" ht="13.9">
      <c r="B44" s="308" t="s">
        <v>274</v>
      </c>
      <c r="C44" s="293">
        <f>C36</f>
        <v>66.699999774854746</v>
      </c>
      <c r="D44" s="393" t="e">
        <f>ROUND(C44-C37,6)</f>
        <v>#REF!</v>
      </c>
      <c r="E44" s="351" t="s">
        <v>268</v>
      </c>
      <c r="AI44" s="373"/>
    </row>
    <row r="45" spans="2:36" ht="13.9">
      <c r="B45" s="305" t="s">
        <v>269</v>
      </c>
      <c r="C45" s="293"/>
      <c r="D45" s="351">
        <v>0</v>
      </c>
    </row>
    <row r="46" spans="2:36">
      <c r="B46" s="308" t="s">
        <v>387</v>
      </c>
      <c r="C46" s="293">
        <f>(E15+E17+E22+E27-C15-C17-C22-C27)</f>
        <v>50.867891330000191</v>
      </c>
    </row>
    <row r="47" spans="2:36">
      <c r="B47" s="308" t="s">
        <v>270</v>
      </c>
      <c r="C47" s="293">
        <f>E28+E29-C28-C29</f>
        <v>-77.520268000000016</v>
      </c>
    </row>
    <row r="48" spans="2:36">
      <c r="B48" s="308" t="s">
        <v>271</v>
      </c>
      <c r="C48" s="293">
        <f>C32+C34-E32-E34</f>
        <v>-41.268313999999975</v>
      </c>
    </row>
    <row r="49" spans="2:29">
      <c r="B49" s="308" t="s">
        <v>272</v>
      </c>
      <c r="C49" s="293">
        <f>C33-E33</f>
        <v>68.620690850380583</v>
      </c>
    </row>
    <row r="50" spans="2:29" ht="13.9" thickBot="1">
      <c r="B50" s="295" t="s">
        <v>273</v>
      </c>
      <c r="C50" s="293">
        <f>C35-E35</f>
        <v>0</v>
      </c>
    </row>
    <row r="51" spans="2:29" ht="14.25" thickBot="1">
      <c r="B51" s="337" t="s">
        <v>636</v>
      </c>
      <c r="C51" s="338">
        <f>SUM(C44:C50)</f>
        <v>67.399999955235529</v>
      </c>
    </row>
    <row r="52" spans="2:29" ht="13.9">
      <c r="B52" s="334" t="s">
        <v>275</v>
      </c>
      <c r="C52" s="334" t="e">
        <f>E37</f>
        <v>#REF!</v>
      </c>
    </row>
    <row r="53" spans="2:29" ht="13.9">
      <c r="B53" s="334" t="s">
        <v>264</v>
      </c>
      <c r="C53" s="393" t="e">
        <f>ROUND(C52-C51,6)</f>
        <v>#REF!</v>
      </c>
    </row>
    <row r="55" spans="2:29" ht="14.25" thickBot="1">
      <c r="B55" s="298" t="s">
        <v>276</v>
      </c>
    </row>
    <row r="56" spans="2:29" ht="13.9">
      <c r="B56" s="415"/>
      <c r="C56" s="339" t="s">
        <v>137</v>
      </c>
      <c r="D56" s="339" t="s">
        <v>243</v>
      </c>
      <c r="E56" s="340" t="s">
        <v>231</v>
      </c>
      <c r="F56" s="339" t="s">
        <v>140</v>
      </c>
      <c r="G56" s="339" t="s">
        <v>140</v>
      </c>
      <c r="AC56" s="351" t="s">
        <v>140</v>
      </c>
    </row>
    <row r="57" spans="2:29" ht="13.9">
      <c r="B57" s="413" t="s">
        <v>277</v>
      </c>
      <c r="C57" s="296" t="s">
        <v>4</v>
      </c>
      <c r="D57" s="296" t="s">
        <v>127</v>
      </c>
      <c r="E57" s="291" t="s">
        <v>128</v>
      </c>
      <c r="F57" s="296" t="s">
        <v>129</v>
      </c>
      <c r="G57" s="296" t="s">
        <v>130</v>
      </c>
      <c r="AC57" s="351" t="s">
        <v>130</v>
      </c>
    </row>
    <row r="58" spans="2:29" ht="14.25" thickBot="1">
      <c r="B58" s="341"/>
      <c r="C58" s="341" t="s">
        <v>40</v>
      </c>
      <c r="D58" s="341" t="s">
        <v>40</v>
      </c>
      <c r="E58" s="342" t="s">
        <v>40</v>
      </c>
      <c r="F58" s="341" t="s">
        <v>40</v>
      </c>
      <c r="G58" s="341" t="s">
        <v>40</v>
      </c>
      <c r="AC58" s="351" t="s">
        <v>40</v>
      </c>
    </row>
    <row r="59" spans="2:29">
      <c r="B59" s="343" t="s">
        <v>278</v>
      </c>
      <c r="C59" s="306">
        <f>2336.3+10</f>
        <v>2346.3000000000002</v>
      </c>
      <c r="D59" s="306">
        <f>C71</f>
        <v>1868.4011118799999</v>
      </c>
      <c r="E59" s="293" t="e">
        <f t="shared" ref="E59:G59" si="18">D71</f>
        <v>#REF!</v>
      </c>
      <c r="F59" s="306" t="e">
        <f t="shared" si="18"/>
        <v>#REF!</v>
      </c>
      <c r="G59" s="306" t="e">
        <f t="shared" si="18"/>
        <v>#REF!</v>
      </c>
      <c r="AC59" s="351">
        <v>856.76956239032552</v>
      </c>
    </row>
    <row r="60" spans="2:29" ht="13.9">
      <c r="B60" s="344" t="s">
        <v>279</v>
      </c>
      <c r="C60" s="306"/>
      <c r="D60" s="306"/>
      <c r="E60" s="293"/>
      <c r="F60" s="306"/>
      <c r="G60" s="306"/>
    </row>
    <row r="61" spans="2:29">
      <c r="B61" s="343" t="s">
        <v>280</v>
      </c>
      <c r="C61" s="306">
        <v>-626.68923074000008</v>
      </c>
      <c r="D61" s="306">
        <f t="shared" ref="D61:G62" si="19">D95-C95</f>
        <v>-871.02387683999996</v>
      </c>
      <c r="E61" s="293">
        <f t="shared" si="19"/>
        <v>46.80690558333302</v>
      </c>
      <c r="F61" s="306">
        <f t="shared" si="19"/>
        <v>-21.600000000000023</v>
      </c>
      <c r="G61" s="306">
        <f t="shared" si="19"/>
        <v>-5</v>
      </c>
      <c r="H61" s="351" t="s">
        <v>986</v>
      </c>
      <c r="AC61" s="351">
        <v>-5</v>
      </c>
    </row>
    <row r="62" spans="2:29">
      <c r="B62" s="343" t="s">
        <v>281</v>
      </c>
      <c r="C62" s="306">
        <v>63.707396009999997</v>
      </c>
      <c r="D62" s="306">
        <f t="shared" si="19"/>
        <v>-21.500396010000003</v>
      </c>
      <c r="E62" s="293">
        <f t="shared" si="19"/>
        <v>-10</v>
      </c>
      <c r="F62" s="306">
        <f t="shared" si="19"/>
        <v>-5</v>
      </c>
      <c r="G62" s="306">
        <f t="shared" si="19"/>
        <v>0</v>
      </c>
      <c r="H62" s="351" t="s">
        <v>986</v>
      </c>
      <c r="AC62" s="351">
        <v>0</v>
      </c>
    </row>
    <row r="63" spans="2:29">
      <c r="B63" s="343" t="s">
        <v>282</v>
      </c>
      <c r="C63" s="306">
        <v>-17.742068579999998</v>
      </c>
      <c r="D63" s="306" t="e">
        <f>D169</f>
        <v>#REF!</v>
      </c>
      <c r="E63" s="293" t="e">
        <f>E169</f>
        <v>#REF!</v>
      </c>
      <c r="F63" s="306" t="e">
        <f>F169</f>
        <v>#REF!</v>
      </c>
      <c r="G63" s="306" t="e">
        <f>G169</f>
        <v>#REF!</v>
      </c>
      <c r="H63" s="351" t="s">
        <v>986</v>
      </c>
      <c r="AC63" s="351">
        <v>-4.4000000000000004</v>
      </c>
    </row>
    <row r="64" spans="2:29">
      <c r="B64" s="343" t="s">
        <v>666</v>
      </c>
      <c r="C64" s="306">
        <v>216.9</v>
      </c>
      <c r="D64" s="306">
        <f>D98-C98</f>
        <v>142.47100000000006</v>
      </c>
      <c r="E64" s="293">
        <f>E98-D98</f>
        <v>-101.5</v>
      </c>
      <c r="F64" s="306">
        <f>F98-E98</f>
        <v>-28.300000000000011</v>
      </c>
      <c r="G64" s="306">
        <f>G98-F98</f>
        <v>-32.945400000000006</v>
      </c>
      <c r="H64" s="351" t="s">
        <v>986</v>
      </c>
      <c r="AC64" s="351">
        <v>-32.945400000000006</v>
      </c>
    </row>
    <row r="65" spans="2:29">
      <c r="B65" s="343" t="s">
        <v>283</v>
      </c>
      <c r="C65" s="306">
        <v>-2.524553120000097</v>
      </c>
      <c r="D65" s="306">
        <f>D28</f>
        <v>6.2</v>
      </c>
      <c r="E65" s="293">
        <f t="shared" ref="E65:G65" si="20">E28</f>
        <v>-28.720268000000001</v>
      </c>
      <c r="F65" s="306">
        <f t="shared" si="20"/>
        <v>-15.881070000000001</v>
      </c>
      <c r="G65" s="306">
        <f t="shared" si="20"/>
        <v>2.4091879999999999</v>
      </c>
      <c r="H65" s="351" t="s">
        <v>428</v>
      </c>
      <c r="AC65" s="351">
        <v>2.6091883726249336</v>
      </c>
    </row>
    <row r="66" spans="2:29">
      <c r="B66" s="343" t="s">
        <v>284</v>
      </c>
      <c r="C66" s="306">
        <v>-7.7477066699999995</v>
      </c>
      <c r="D66" s="306">
        <f t="shared" ref="D66:F68" si="21">D100-C100</f>
        <v>-10.100000000000001</v>
      </c>
      <c r="E66" s="293">
        <f t="shared" si="21"/>
        <v>-5.8999999999999986</v>
      </c>
      <c r="F66" s="306">
        <f t="shared" si="21"/>
        <v>-2.5999999999999996</v>
      </c>
      <c r="G66" s="306">
        <f>G100-F100</f>
        <v>-2.4000000000000004</v>
      </c>
      <c r="H66" s="351" t="s">
        <v>428</v>
      </c>
      <c r="AC66" s="351">
        <v>-2.4000000000000004</v>
      </c>
    </row>
    <row r="67" spans="2:29">
      <c r="B67" s="343" t="s">
        <v>292</v>
      </c>
      <c r="C67" s="306">
        <v>-86.867999999999995</v>
      </c>
      <c r="D67" s="306">
        <f t="shared" si="21"/>
        <v>-101.50822719999992</v>
      </c>
      <c r="E67" s="293">
        <f t="shared" si="21"/>
        <v>-33.25</v>
      </c>
      <c r="F67" s="306">
        <f t="shared" si="21"/>
        <v>12.035999999999998</v>
      </c>
      <c r="G67" s="306">
        <f>G101-F101</f>
        <v>7.2307200000000051</v>
      </c>
      <c r="H67" s="351" t="s">
        <v>986</v>
      </c>
      <c r="AC67" s="351">
        <v>7.2307200000000051</v>
      </c>
    </row>
    <row r="68" spans="2:29">
      <c r="B68" s="295" t="s">
        <v>90</v>
      </c>
      <c r="C68" s="306">
        <v>-17.275635300000001</v>
      </c>
      <c r="D68" s="306">
        <f t="shared" si="21"/>
        <v>-30</v>
      </c>
      <c r="E68" s="293">
        <f t="shared" si="21"/>
        <v>-27.826630700000003</v>
      </c>
      <c r="F68" s="306">
        <f t="shared" si="21"/>
        <v>0</v>
      </c>
      <c r="G68" s="306">
        <f>G102-F102</f>
        <v>0</v>
      </c>
      <c r="H68" s="351" t="s">
        <v>986</v>
      </c>
      <c r="AC68" s="351">
        <v>0</v>
      </c>
    </row>
    <row r="69" spans="2:29">
      <c r="B69" s="295" t="s">
        <v>285</v>
      </c>
      <c r="C69" s="306">
        <v>0.34091028000000007</v>
      </c>
      <c r="D69" s="306">
        <v>-0.20091027999990274</v>
      </c>
      <c r="E69" s="293">
        <v>-0.23</v>
      </c>
      <c r="F69" s="306">
        <v>-0.2</v>
      </c>
      <c r="G69" s="306">
        <v>-0.44999999999999996</v>
      </c>
      <c r="H69" s="351" t="s">
        <v>428</v>
      </c>
      <c r="AC69" s="351">
        <v>-0.44999999999999996</v>
      </c>
    </row>
    <row r="70" spans="2:29" ht="13.9" thickBot="1">
      <c r="B70" s="345" t="s">
        <v>286</v>
      </c>
      <c r="C70" s="346">
        <v>0</v>
      </c>
      <c r="D70" s="346">
        <v>0</v>
      </c>
      <c r="E70" s="347">
        <v>0</v>
      </c>
      <c r="F70" s="346">
        <v>0</v>
      </c>
      <c r="G70" s="346">
        <v>0</v>
      </c>
      <c r="H70" s="351" t="s">
        <v>428</v>
      </c>
      <c r="AC70" s="351">
        <v>0</v>
      </c>
    </row>
    <row r="71" spans="2:29" ht="14.25" thickBot="1">
      <c r="B71" s="348" t="s">
        <v>287</v>
      </c>
      <c r="C71" s="349">
        <f>SUM(C59:C70)</f>
        <v>1868.4011118799999</v>
      </c>
      <c r="D71" s="349" t="e">
        <f>SUM(D59:D70)</f>
        <v>#REF!</v>
      </c>
      <c r="E71" s="304" t="e">
        <f>SUM(E59:E70)</f>
        <v>#REF!</v>
      </c>
      <c r="F71" s="349" t="e">
        <f>SUM(F59:F70)</f>
        <v>#REF!</v>
      </c>
      <c r="G71" s="349" t="e">
        <f>SUM(G59:G70)</f>
        <v>#REF!</v>
      </c>
      <c r="H71" s="296" t="e">
        <f>G71-E71</f>
        <v>#REF!</v>
      </c>
      <c r="AC71" s="351">
        <v>821.41407076295047</v>
      </c>
    </row>
    <row r="72" spans="2:29" ht="13.9">
      <c r="B72" s="334" t="s">
        <v>288</v>
      </c>
      <c r="D72" s="390">
        <f>D59-C71</f>
        <v>0</v>
      </c>
      <c r="E72" s="390" t="e">
        <f>E59-D71</f>
        <v>#REF!</v>
      </c>
      <c r="F72" s="390" t="e">
        <f>F59-E71</f>
        <v>#REF!</v>
      </c>
      <c r="G72" s="390" t="e">
        <f>G59-F71</f>
        <v>#REF!</v>
      </c>
      <c r="I72" s="350" t="s">
        <v>641</v>
      </c>
      <c r="AC72" s="351">
        <v>0</v>
      </c>
    </row>
    <row r="73" spans="2:29" ht="13.9">
      <c r="B73" s="334" t="s">
        <v>289</v>
      </c>
      <c r="D73" s="390">
        <f>D65+D70-SUM(D28)</f>
        <v>0</v>
      </c>
      <c r="E73" s="390">
        <f>E65+E70-SUM(E28)</f>
        <v>0</v>
      </c>
      <c r="F73" s="390">
        <f>F65+F70-SUM(F28)</f>
        <v>0</v>
      </c>
      <c r="G73" s="390">
        <f>G65+G70-SUM(G28)</f>
        <v>0</v>
      </c>
      <c r="AC73" s="351">
        <v>0</v>
      </c>
    </row>
    <row r="74" spans="2:29" ht="13.9">
      <c r="B74" s="334"/>
      <c r="D74" s="351">
        <v>65.8</v>
      </c>
      <c r="E74" s="351" t="s">
        <v>714</v>
      </c>
      <c r="F74" s="390"/>
      <c r="G74" s="390"/>
    </row>
    <row r="75" spans="2:29" ht="13.9">
      <c r="B75" s="334"/>
      <c r="D75" s="351">
        <v>10</v>
      </c>
      <c r="E75" s="351" t="s">
        <v>671</v>
      </c>
      <c r="F75" s="390"/>
      <c r="G75" s="390"/>
    </row>
    <row r="76" spans="2:29" ht="13.9">
      <c r="B76" s="334"/>
      <c r="D76" s="351">
        <v>17.600000000000001</v>
      </c>
      <c r="E76" s="351" t="s">
        <v>673</v>
      </c>
      <c r="F76" s="390"/>
      <c r="G76" s="390"/>
    </row>
    <row r="77" spans="2:29" ht="13.9">
      <c r="B77" s="334"/>
      <c r="D77" s="351">
        <v>10.9</v>
      </c>
      <c r="E77" s="351" t="s">
        <v>672</v>
      </c>
      <c r="F77" s="390"/>
      <c r="G77" s="390"/>
    </row>
    <row r="78" spans="2:29" ht="13.9">
      <c r="B78" s="334"/>
      <c r="D78" s="351">
        <v>5.3</v>
      </c>
      <c r="E78" s="351" t="s">
        <v>674</v>
      </c>
      <c r="F78" s="390"/>
      <c r="G78" s="390"/>
    </row>
    <row r="79" spans="2:29" ht="13.9">
      <c r="B79" s="334"/>
      <c r="F79" s="390"/>
      <c r="G79" s="390"/>
    </row>
    <row r="80" spans="2:29" ht="13.9">
      <c r="B80" s="334" t="s">
        <v>678</v>
      </c>
      <c r="D80" s="390">
        <f t="shared" ref="D80:G89" si="22">ROUND(D61-D95+C95,6)</f>
        <v>0</v>
      </c>
      <c r="E80" s="390">
        <f t="shared" si="22"/>
        <v>0</v>
      </c>
      <c r="F80" s="390">
        <f t="shared" si="22"/>
        <v>0</v>
      </c>
      <c r="G80" s="390">
        <f t="shared" si="22"/>
        <v>0</v>
      </c>
      <c r="AC80" s="351">
        <v>0</v>
      </c>
    </row>
    <row r="81" spans="2:29" ht="13.9">
      <c r="B81" s="334" t="s">
        <v>679</v>
      </c>
      <c r="D81" s="390">
        <f t="shared" si="22"/>
        <v>0</v>
      </c>
      <c r="E81" s="390">
        <f t="shared" si="22"/>
        <v>0</v>
      </c>
      <c r="F81" s="390">
        <f t="shared" si="22"/>
        <v>0</v>
      </c>
      <c r="G81" s="390">
        <f t="shared" si="22"/>
        <v>0</v>
      </c>
      <c r="AC81" s="351">
        <v>0</v>
      </c>
    </row>
    <row r="82" spans="2:29" ht="13.9">
      <c r="B82" s="334" t="s">
        <v>680</v>
      </c>
      <c r="D82" s="390" t="e">
        <f t="shared" si="22"/>
        <v>#REF!</v>
      </c>
      <c r="E82" s="390" t="e">
        <f t="shared" si="22"/>
        <v>#REF!</v>
      </c>
      <c r="F82" s="390" t="e">
        <f t="shared" si="22"/>
        <v>#REF!</v>
      </c>
      <c r="G82" s="390" t="e">
        <f t="shared" si="22"/>
        <v>#REF!</v>
      </c>
      <c r="AC82" s="351">
        <v>0</v>
      </c>
    </row>
    <row r="83" spans="2:29" ht="13.9">
      <c r="B83" s="334" t="s">
        <v>681</v>
      </c>
      <c r="D83" s="390">
        <f t="shared" si="22"/>
        <v>0</v>
      </c>
      <c r="E83" s="390">
        <f t="shared" si="22"/>
        <v>0</v>
      </c>
      <c r="F83" s="390">
        <f t="shared" si="22"/>
        <v>0</v>
      </c>
      <c r="G83" s="390">
        <f t="shared" si="22"/>
        <v>0</v>
      </c>
      <c r="AC83" s="351">
        <v>0</v>
      </c>
    </row>
    <row r="84" spans="2:29" ht="13.9">
      <c r="B84" s="334" t="s">
        <v>682</v>
      </c>
      <c r="D84" s="390">
        <f t="shared" si="22"/>
        <v>0</v>
      </c>
      <c r="E84" s="390">
        <f t="shared" si="22"/>
        <v>0</v>
      </c>
      <c r="F84" s="390">
        <f t="shared" si="22"/>
        <v>0</v>
      </c>
      <c r="G84" s="390">
        <f t="shared" si="22"/>
        <v>0</v>
      </c>
      <c r="AC84" s="351">
        <v>0</v>
      </c>
    </row>
    <row r="85" spans="2:29" ht="13.9">
      <c r="B85" s="334" t="s">
        <v>683</v>
      </c>
      <c r="D85" s="390">
        <f t="shared" si="22"/>
        <v>0</v>
      </c>
      <c r="E85" s="390">
        <f t="shared" si="22"/>
        <v>0</v>
      </c>
      <c r="F85" s="390">
        <f t="shared" si="22"/>
        <v>0</v>
      </c>
      <c r="G85" s="390">
        <f t="shared" si="22"/>
        <v>0</v>
      </c>
      <c r="AC85" s="351">
        <v>0</v>
      </c>
    </row>
    <row r="86" spans="2:29" ht="13.9">
      <c r="B86" s="334" t="s">
        <v>684</v>
      </c>
      <c r="D86" s="390">
        <f t="shared" si="22"/>
        <v>0</v>
      </c>
      <c r="E86" s="390">
        <f t="shared" si="22"/>
        <v>0</v>
      </c>
      <c r="F86" s="390">
        <f t="shared" si="22"/>
        <v>0</v>
      </c>
      <c r="G86" s="390">
        <f t="shared" si="22"/>
        <v>0</v>
      </c>
      <c r="AC86" s="351">
        <v>0</v>
      </c>
    </row>
    <row r="87" spans="2:29" ht="13.9">
      <c r="B87" s="334" t="s">
        <v>687</v>
      </c>
      <c r="D87" s="390">
        <f t="shared" si="22"/>
        <v>0</v>
      </c>
      <c r="E87" s="390">
        <f t="shared" si="22"/>
        <v>0</v>
      </c>
      <c r="F87" s="390">
        <f t="shared" si="22"/>
        <v>0</v>
      </c>
      <c r="G87" s="390">
        <f t="shared" si="22"/>
        <v>0</v>
      </c>
      <c r="AC87" s="351">
        <v>0</v>
      </c>
    </row>
    <row r="88" spans="2:29" ht="13.9">
      <c r="B88" s="334" t="s">
        <v>685</v>
      </c>
      <c r="D88" s="390">
        <f t="shared" si="22"/>
        <v>0</v>
      </c>
      <c r="E88" s="390">
        <f t="shared" si="22"/>
        <v>0</v>
      </c>
      <c r="F88" s="390">
        <f t="shared" si="22"/>
        <v>0</v>
      </c>
      <c r="G88" s="390">
        <f t="shared" si="22"/>
        <v>0</v>
      </c>
      <c r="AC88" s="351">
        <v>0</v>
      </c>
    </row>
    <row r="89" spans="2:29" ht="13.9">
      <c r="B89" s="334" t="s">
        <v>686</v>
      </c>
      <c r="D89" s="390">
        <f t="shared" si="22"/>
        <v>0</v>
      </c>
      <c r="E89" s="390">
        <f t="shared" si="22"/>
        <v>0</v>
      </c>
      <c r="F89" s="390">
        <f t="shared" si="22"/>
        <v>0</v>
      </c>
      <c r="G89" s="390">
        <f t="shared" si="22"/>
        <v>0</v>
      </c>
      <c r="AC89" s="351">
        <v>0</v>
      </c>
    </row>
    <row r="90" spans="2:29" ht="13.9">
      <c r="B90" s="334"/>
      <c r="D90" s="390"/>
      <c r="E90" s="390"/>
      <c r="F90" s="390"/>
      <c r="G90" s="390"/>
    </row>
    <row r="91" spans="2:29" ht="14.25" thickBot="1">
      <c r="B91" s="298" t="s">
        <v>290</v>
      </c>
      <c r="C91" s="391"/>
      <c r="D91" s="391"/>
      <c r="E91" s="391"/>
      <c r="F91" s="391"/>
      <c r="G91" s="391"/>
    </row>
    <row r="92" spans="2:29" ht="13.9">
      <c r="B92" s="339"/>
      <c r="C92" s="339" t="s">
        <v>137</v>
      </c>
      <c r="D92" s="339" t="s">
        <v>243</v>
      </c>
      <c r="E92" s="340" t="s">
        <v>231</v>
      </c>
      <c r="F92" s="339" t="s">
        <v>140</v>
      </c>
      <c r="G92" s="339" t="s">
        <v>140</v>
      </c>
      <c r="AC92" s="351" t="s">
        <v>140</v>
      </c>
    </row>
    <row r="93" spans="2:29" ht="13.9">
      <c r="B93" s="413" t="s">
        <v>291</v>
      </c>
      <c r="C93" s="296" t="s">
        <v>4</v>
      </c>
      <c r="D93" s="296" t="s">
        <v>127</v>
      </c>
      <c r="E93" s="291" t="s">
        <v>128</v>
      </c>
      <c r="F93" s="296" t="s">
        <v>129</v>
      </c>
      <c r="G93" s="296" t="s">
        <v>130</v>
      </c>
      <c r="AC93" s="351" t="s">
        <v>130</v>
      </c>
    </row>
    <row r="94" spans="2:29" ht="14.25" thickBot="1">
      <c r="B94" s="341"/>
      <c r="C94" s="341" t="s">
        <v>40</v>
      </c>
      <c r="D94" s="341" t="s">
        <v>40</v>
      </c>
      <c r="E94" s="342" t="s">
        <v>40</v>
      </c>
      <c r="F94" s="341" t="s">
        <v>40</v>
      </c>
      <c r="G94" s="341" t="s">
        <v>40</v>
      </c>
      <c r="AC94" s="351" t="s">
        <v>40</v>
      </c>
    </row>
    <row r="95" spans="2:29">
      <c r="B95" s="343" t="s">
        <v>280</v>
      </c>
      <c r="C95" s="306">
        <v>1007.32925972</v>
      </c>
      <c r="D95" s="306">
        <f>141.74188012-5.5+0.0635027600000013</f>
        <v>136.30538288</v>
      </c>
      <c r="E95" s="293">
        <f>188.548785703333-5.5+0.0635027600000013</f>
        <v>183.11228846333302</v>
      </c>
      <c r="F95" s="306">
        <f>166.948785703333-5.5+0.0635027600000013</f>
        <v>161.51228846333299</v>
      </c>
      <c r="G95" s="306">
        <f>161.948785703333-5.5+0.0635027600000013</f>
        <v>156.51228846333299</v>
      </c>
      <c r="H95" s="351" t="s">
        <v>986</v>
      </c>
      <c r="AC95" s="351">
        <v>156.51228846333299</v>
      </c>
    </row>
    <row r="96" spans="2:29">
      <c r="B96" s="343" t="s">
        <v>281</v>
      </c>
      <c r="C96" s="306">
        <v>63.707396009999997</v>
      </c>
      <c r="D96" s="306">
        <v>42.206999999999994</v>
      </c>
      <c r="E96" s="293">
        <v>32.206999999999994</v>
      </c>
      <c r="F96" s="306">
        <v>27.206999999999994</v>
      </c>
      <c r="G96" s="306">
        <v>27.206999999999994</v>
      </c>
      <c r="H96" s="351" t="s">
        <v>986</v>
      </c>
      <c r="AC96" s="351">
        <v>27.206999999999994</v>
      </c>
    </row>
    <row r="97" spans="2:29">
      <c r="B97" s="343" t="s">
        <v>282</v>
      </c>
      <c r="C97" s="306">
        <v>17.963498760000004</v>
      </c>
      <c r="D97" s="306" t="e">
        <f>C97+D63</f>
        <v>#REF!</v>
      </c>
      <c r="E97" s="293" t="e">
        <f>D97+E63</f>
        <v>#REF!</v>
      </c>
      <c r="F97" s="306" t="e">
        <f>E97+F63</f>
        <v>#REF!</v>
      </c>
      <c r="G97" s="306" t="e">
        <f>F97+G63</f>
        <v>#REF!</v>
      </c>
      <c r="H97" s="351" t="s">
        <v>986</v>
      </c>
      <c r="AC97" s="351">
        <v>0</v>
      </c>
    </row>
    <row r="98" spans="2:29">
      <c r="B98" s="343" t="s">
        <v>666</v>
      </c>
      <c r="C98" s="306">
        <v>216.87439999999998</v>
      </c>
      <c r="D98" s="306">
        <v>359.34540000000004</v>
      </c>
      <c r="E98" s="293">
        <v>257.84540000000004</v>
      </c>
      <c r="F98" s="306">
        <v>229.54540000000003</v>
      </c>
      <c r="G98" s="306">
        <v>196.60000000000002</v>
      </c>
      <c r="H98" s="351" t="s">
        <v>986</v>
      </c>
      <c r="AC98" s="351">
        <v>196.60000000000002</v>
      </c>
    </row>
    <row r="99" spans="2:29">
      <c r="B99" s="343" t="s">
        <v>283</v>
      </c>
      <c r="C99" s="306">
        <v>300.50918920999999</v>
      </c>
      <c r="D99" s="306">
        <f>C99+D65</f>
        <v>306.70918920999998</v>
      </c>
      <c r="E99" s="293">
        <f>D99+E65</f>
        <v>277.98892121</v>
      </c>
      <c r="F99" s="306">
        <f>E99+F65</f>
        <v>262.10785120999998</v>
      </c>
      <c r="G99" s="306">
        <f>F99+G65</f>
        <v>264.51703920999995</v>
      </c>
      <c r="H99" s="351" t="s">
        <v>428</v>
      </c>
      <c r="AC99" s="351">
        <v>374.47646229961742</v>
      </c>
    </row>
    <row r="100" spans="2:29">
      <c r="B100" s="343" t="s">
        <v>284</v>
      </c>
      <c r="C100" s="306">
        <v>34</v>
      </c>
      <c r="D100" s="306">
        <v>23.9</v>
      </c>
      <c r="E100" s="293">
        <v>18</v>
      </c>
      <c r="F100" s="306">
        <v>15.4</v>
      </c>
      <c r="G100" s="306">
        <v>13</v>
      </c>
      <c r="H100" s="351" t="s">
        <v>428</v>
      </c>
      <c r="AC100" s="351">
        <v>13</v>
      </c>
    </row>
    <row r="101" spans="2:29">
      <c r="B101" s="343" t="s">
        <v>292</v>
      </c>
      <c r="C101" s="306">
        <v>158.56422719999992</v>
      </c>
      <c r="D101" s="306">
        <v>57.055999999999997</v>
      </c>
      <c r="E101" s="293">
        <v>23.806000000000001</v>
      </c>
      <c r="F101" s="306">
        <v>35.841999999999999</v>
      </c>
      <c r="G101" s="306">
        <v>43.072720000000004</v>
      </c>
      <c r="H101" s="351" t="s">
        <v>986</v>
      </c>
      <c r="AC101" s="351">
        <v>43.072720000000004</v>
      </c>
    </row>
    <row r="102" spans="2:29">
      <c r="B102" s="295" t="s">
        <v>90</v>
      </c>
      <c r="C102" s="306">
        <v>57.826630700000003</v>
      </c>
      <c r="D102" s="306">
        <f>C102-30</f>
        <v>27.826630700000003</v>
      </c>
      <c r="E102" s="293">
        <v>0</v>
      </c>
      <c r="F102" s="306">
        <v>0</v>
      </c>
      <c r="G102" s="306">
        <v>0</v>
      </c>
      <c r="H102" s="351" t="s">
        <v>986</v>
      </c>
      <c r="AC102" s="351">
        <v>0</v>
      </c>
    </row>
    <row r="103" spans="2:29">
      <c r="B103" s="295" t="s">
        <v>285</v>
      </c>
      <c r="C103" s="306">
        <v>1.6009102800000001</v>
      </c>
      <c r="D103" s="306">
        <v>1.4000000000000001</v>
      </c>
      <c r="E103" s="293">
        <v>1.1700000000000002</v>
      </c>
      <c r="F103" s="306">
        <v>0.9700000000000002</v>
      </c>
      <c r="G103" s="306">
        <v>0.52000000000000024</v>
      </c>
      <c r="H103" s="351" t="s">
        <v>428</v>
      </c>
      <c r="AC103" s="351">
        <v>0.52000000000000024</v>
      </c>
    </row>
    <row r="104" spans="2:29" ht="13.9" thickBot="1">
      <c r="B104" s="345" t="s">
        <v>286</v>
      </c>
      <c r="C104" s="352">
        <v>10.025600000000168</v>
      </c>
      <c r="D104" s="352">
        <v>10.025600000000168</v>
      </c>
      <c r="E104" s="353">
        <v>10.025600000000168</v>
      </c>
      <c r="F104" s="352">
        <v>10.02559999999994</v>
      </c>
      <c r="G104" s="352">
        <v>10.025600000000054</v>
      </c>
      <c r="H104" s="351" t="s">
        <v>428</v>
      </c>
      <c r="AC104" s="351">
        <v>10.025600000000054</v>
      </c>
    </row>
    <row r="105" spans="2:29" ht="14.25" thickBot="1">
      <c r="B105" s="348" t="s">
        <v>293</v>
      </c>
      <c r="C105" s="354">
        <f>SUM(C95:C104)</f>
        <v>1868.4011118799999</v>
      </c>
      <c r="D105" s="354" t="e">
        <f>SUM(D95:D104)</f>
        <v>#REF!</v>
      </c>
      <c r="E105" s="355" t="e">
        <f>SUM(E95:E104)</f>
        <v>#REF!</v>
      </c>
      <c r="F105" s="354" t="e">
        <f>SUM(F95:F104)</f>
        <v>#REF!</v>
      </c>
      <c r="G105" s="354" t="e">
        <f>SUM(G95:G104)</f>
        <v>#REF!</v>
      </c>
      <c r="AC105" s="351">
        <v>821.41407076295047</v>
      </c>
    </row>
    <row r="106" spans="2:29" ht="13.9">
      <c r="B106" s="334" t="s">
        <v>294</v>
      </c>
      <c r="C106" s="390">
        <f>C105-C71</f>
        <v>0</v>
      </c>
      <c r="D106" s="390" t="e">
        <f>D105-D71</f>
        <v>#REF!</v>
      </c>
      <c r="E106" s="390" t="e">
        <f>E105-E71</f>
        <v>#REF!</v>
      </c>
      <c r="F106" s="390" t="e">
        <f>F105-F71</f>
        <v>#REF!</v>
      </c>
      <c r="G106" s="390" t="e">
        <f>G105-G71</f>
        <v>#REF!</v>
      </c>
      <c r="AC106" s="351">
        <v>0</v>
      </c>
    </row>
    <row r="107" spans="2:29">
      <c r="B107" s="356"/>
    </row>
    <row r="108" spans="2:29" ht="14.25" thickBot="1">
      <c r="B108" s="298" t="s">
        <v>295</v>
      </c>
    </row>
    <row r="109" spans="2:29" ht="27.75">
      <c r="B109" s="414" t="s">
        <v>296</v>
      </c>
      <c r="C109" s="416" t="s">
        <v>138</v>
      </c>
      <c r="D109" s="416" t="s">
        <v>139</v>
      </c>
      <c r="E109" s="420" t="s">
        <v>231</v>
      </c>
      <c r="F109" s="416" t="s">
        <v>140</v>
      </c>
      <c r="G109" s="416" t="s">
        <v>140</v>
      </c>
      <c r="AC109" s="351" t="s">
        <v>140</v>
      </c>
    </row>
    <row r="110" spans="2:29" ht="13.9">
      <c r="B110" s="296"/>
      <c r="C110" s="296" t="s">
        <v>127</v>
      </c>
      <c r="D110" s="296" t="s">
        <v>127</v>
      </c>
      <c r="E110" s="291" t="s">
        <v>128</v>
      </c>
      <c r="F110" s="296" t="s">
        <v>129</v>
      </c>
      <c r="G110" s="296" t="s">
        <v>130</v>
      </c>
      <c r="AC110" s="351" t="s">
        <v>130</v>
      </c>
    </row>
    <row r="111" spans="2:29" ht="14.25" thickBot="1">
      <c r="B111" s="303"/>
      <c r="C111" s="303" t="s">
        <v>40</v>
      </c>
      <c r="D111" s="303" t="s">
        <v>40</v>
      </c>
      <c r="E111" s="304" t="s">
        <v>40</v>
      </c>
      <c r="F111" s="303" t="s">
        <v>40</v>
      </c>
      <c r="G111" s="303" t="s">
        <v>40</v>
      </c>
      <c r="AC111" s="351" t="s">
        <v>40</v>
      </c>
    </row>
    <row r="112" spans="2:29">
      <c r="B112" s="343" t="s">
        <v>297</v>
      </c>
      <c r="C112" s="306">
        <v>82.8</v>
      </c>
      <c r="D112" s="306">
        <v>82.8</v>
      </c>
      <c r="E112" s="293">
        <v>85.9</v>
      </c>
      <c r="F112" s="306">
        <v>85.6</v>
      </c>
      <c r="G112" s="306">
        <v>87.2</v>
      </c>
      <c r="AC112" s="351">
        <v>87.2</v>
      </c>
    </row>
    <row r="113" spans="2:29">
      <c r="B113" s="343" t="s">
        <v>298</v>
      </c>
      <c r="C113" s="306">
        <v>8.1949999299999998</v>
      </c>
      <c r="D113" s="306">
        <v>8.1949949999999987</v>
      </c>
      <c r="E113" s="293">
        <v>9.8000000000000007</v>
      </c>
      <c r="F113" s="306">
        <v>8.6999999999999993</v>
      </c>
      <c r="G113" s="306">
        <v>8.1999999999999993</v>
      </c>
      <c r="AC113" s="351">
        <v>8.1999999999999993</v>
      </c>
    </row>
    <row r="114" spans="2:29">
      <c r="B114" s="343" t="s">
        <v>299</v>
      </c>
      <c r="C114" s="306">
        <v>522.47310866999987</v>
      </c>
      <c r="D114" s="306">
        <v>618.63368576000016</v>
      </c>
      <c r="E114" s="293">
        <v>598.69999999999982</v>
      </c>
      <c r="F114" s="306">
        <v>532.79999999999995</v>
      </c>
      <c r="G114" s="306">
        <v>498.2</v>
      </c>
      <c r="AC114" s="351">
        <v>498.00000000000017</v>
      </c>
    </row>
    <row r="115" spans="2:29" ht="13.9">
      <c r="B115" s="344" t="s">
        <v>300</v>
      </c>
      <c r="C115" s="306"/>
      <c r="D115" s="306"/>
      <c r="E115" s="293"/>
      <c r="F115" s="306"/>
      <c r="G115" s="306"/>
    </row>
    <row r="116" spans="2:29">
      <c r="B116" s="343" t="s">
        <v>301</v>
      </c>
      <c r="C116" s="306">
        <v>130</v>
      </c>
      <c r="D116" s="306">
        <v>130</v>
      </c>
      <c r="E116" s="293">
        <v>130</v>
      </c>
      <c r="F116" s="306">
        <v>130</v>
      </c>
      <c r="G116" s="306">
        <v>130</v>
      </c>
      <c r="AC116" s="351">
        <v>130</v>
      </c>
    </row>
    <row r="117" spans="2:29">
      <c r="B117" s="343" t="s">
        <v>302</v>
      </c>
      <c r="C117" s="306">
        <f t="shared" ref="C117:G119" si="23">C19</f>
        <v>20</v>
      </c>
      <c r="D117" s="306">
        <f t="shared" si="23"/>
        <v>20</v>
      </c>
      <c r="E117" s="293">
        <f t="shared" si="23"/>
        <v>20</v>
      </c>
      <c r="F117" s="306">
        <f t="shared" si="23"/>
        <v>20</v>
      </c>
      <c r="G117" s="306">
        <f t="shared" si="23"/>
        <v>20</v>
      </c>
      <c r="AC117" s="351">
        <v>20</v>
      </c>
    </row>
    <row r="118" spans="2:29" ht="13.9" thickBot="1">
      <c r="B118" s="359" t="s">
        <v>303</v>
      </c>
      <c r="C118" s="306">
        <f t="shared" si="23"/>
        <v>1.7</v>
      </c>
      <c r="D118" s="306">
        <f t="shared" si="23"/>
        <v>3.279423</v>
      </c>
      <c r="E118" s="293">
        <f t="shared" si="23"/>
        <v>1.8</v>
      </c>
      <c r="F118" s="306">
        <f t="shared" si="23"/>
        <v>1.6</v>
      </c>
      <c r="G118" s="306">
        <f t="shared" si="23"/>
        <v>1.5</v>
      </c>
      <c r="AC118" s="351">
        <v>1.5</v>
      </c>
    </row>
    <row r="119" spans="2:29" ht="29.25" thickBot="1">
      <c r="B119" s="345" t="s">
        <v>753</v>
      </c>
      <c r="C119" s="352">
        <f t="shared" si="23"/>
        <v>0</v>
      </c>
      <c r="D119" s="352">
        <f t="shared" si="23"/>
        <v>0</v>
      </c>
      <c r="E119" s="353">
        <f t="shared" si="23"/>
        <v>11.8</v>
      </c>
      <c r="F119" s="352">
        <f t="shared" si="23"/>
        <v>11.8</v>
      </c>
      <c r="G119" s="352">
        <f t="shared" si="23"/>
        <v>11.8</v>
      </c>
      <c r="AC119" s="351">
        <v>11.8</v>
      </c>
    </row>
    <row r="120" spans="2:29" ht="14.25" thickBot="1">
      <c r="B120" s="360" t="s">
        <v>304</v>
      </c>
      <c r="C120" s="354">
        <f>SUM(C112:C119)</f>
        <v>765.16810859999987</v>
      </c>
      <c r="D120" s="354">
        <f>SUM(D112:D119)</f>
        <v>862.90810376000013</v>
      </c>
      <c r="E120" s="355">
        <f>SUM(E112:E119)</f>
        <v>857.99999999999977</v>
      </c>
      <c r="F120" s="354">
        <f>SUM(F112:F119)</f>
        <v>790.49999999999989</v>
      </c>
      <c r="G120" s="354">
        <f>SUM(G112:G119)</f>
        <v>756.9</v>
      </c>
      <c r="H120" s="296">
        <f>E120-C120</f>
        <v>92.831891399999904</v>
      </c>
      <c r="K120" s="427" t="s">
        <v>669</v>
      </c>
      <c r="L120" s="351" t="s">
        <v>670</v>
      </c>
      <c r="AC120" s="351">
        <v>756.70000000000016</v>
      </c>
    </row>
    <row r="121" spans="2:29">
      <c r="B121" s="343" t="s">
        <v>305</v>
      </c>
      <c r="C121" s="306">
        <v>-33.135999929999912</v>
      </c>
      <c r="D121" s="306">
        <v>-33.035994999999957</v>
      </c>
      <c r="E121" s="293">
        <v>-66.099999999999682</v>
      </c>
      <c r="F121" s="306">
        <v>-30</v>
      </c>
      <c r="G121" s="306">
        <v>-31.799999999999955</v>
      </c>
      <c r="I121" s="294" t="s">
        <v>640</v>
      </c>
      <c r="K121" s="427">
        <f>F120-E120</f>
        <v>-67.499999999999886</v>
      </c>
      <c r="L121" s="351">
        <f>G120-F120</f>
        <v>-33.599999999999909</v>
      </c>
      <c r="AC121" s="351">
        <v>-31.799999999999955</v>
      </c>
    </row>
    <row r="122" spans="2:29">
      <c r="B122" s="343" t="s">
        <v>306</v>
      </c>
      <c r="C122" s="306">
        <v>-1.6</v>
      </c>
      <c r="D122" s="306">
        <v>-1.6</v>
      </c>
      <c r="E122" s="293">
        <v>-1.6</v>
      </c>
      <c r="F122" s="306">
        <v>-1.6</v>
      </c>
      <c r="G122" s="306">
        <v>-1.6</v>
      </c>
      <c r="AC122" s="351">
        <v>-1.6</v>
      </c>
    </row>
    <row r="123" spans="2:29">
      <c r="B123" s="343" t="s">
        <v>252</v>
      </c>
      <c r="C123" s="306">
        <f>C23</f>
        <v>-27</v>
      </c>
      <c r="D123" s="306">
        <f>D23</f>
        <v>-54.94</v>
      </c>
      <c r="E123" s="293">
        <f>E23</f>
        <v>-36</v>
      </c>
      <c r="F123" s="306">
        <f>F23</f>
        <v>-31.400000000000002</v>
      </c>
      <c r="G123" s="306">
        <f>G23</f>
        <v>-26.3</v>
      </c>
      <c r="AC123" s="351">
        <v>-26.3</v>
      </c>
    </row>
    <row r="124" spans="2:29">
      <c r="B124" s="343" t="s">
        <v>253</v>
      </c>
      <c r="C124" s="306">
        <v>-130</v>
      </c>
      <c r="D124" s="306">
        <v>-130</v>
      </c>
      <c r="E124" s="293">
        <v>-130</v>
      </c>
      <c r="F124" s="306">
        <v>-130</v>
      </c>
      <c r="G124" s="306">
        <v>-130</v>
      </c>
      <c r="AC124" s="351">
        <v>-130</v>
      </c>
    </row>
    <row r="125" spans="2:29">
      <c r="B125" s="343" t="s">
        <v>254</v>
      </c>
      <c r="C125" s="306">
        <f t="shared" ref="C125:G126" si="24">C25</f>
        <v>-20</v>
      </c>
      <c r="D125" s="306">
        <f t="shared" si="24"/>
        <v>-20</v>
      </c>
      <c r="E125" s="293">
        <f t="shared" si="24"/>
        <v>-20</v>
      </c>
      <c r="F125" s="306">
        <f t="shared" si="24"/>
        <v>-20</v>
      </c>
      <c r="G125" s="306">
        <f t="shared" si="24"/>
        <v>-20</v>
      </c>
      <c r="AC125" s="351">
        <v>-20</v>
      </c>
    </row>
    <row r="126" spans="2:29">
      <c r="B126" s="343" t="s">
        <v>255</v>
      </c>
      <c r="C126" s="306">
        <f t="shared" si="24"/>
        <v>-15</v>
      </c>
      <c r="D126" s="306">
        <f t="shared" si="24"/>
        <v>-12.2</v>
      </c>
      <c r="E126" s="293">
        <f t="shared" si="24"/>
        <v>-15</v>
      </c>
      <c r="F126" s="306">
        <f t="shared" si="24"/>
        <v>-15</v>
      </c>
      <c r="G126" s="306">
        <f t="shared" si="24"/>
        <v>-15</v>
      </c>
      <c r="AC126" s="351">
        <v>-15</v>
      </c>
    </row>
    <row r="127" spans="2:29" ht="14.25" thickBot="1">
      <c r="B127" s="424" t="s">
        <v>307</v>
      </c>
      <c r="C127" s="354">
        <f>SUM(C121:C126)</f>
        <v>-226.73599992999991</v>
      </c>
      <c r="D127" s="354">
        <f>SUM(D121:D126)</f>
        <v>-251.77599499999994</v>
      </c>
      <c r="E127" s="355">
        <f>SUM(E121:E126)</f>
        <v>-268.6999999999997</v>
      </c>
      <c r="F127" s="354">
        <f>SUM(F121:F126)</f>
        <v>-228</v>
      </c>
      <c r="G127" s="354">
        <f>SUM(G121:G126)</f>
        <v>-224.69999999999996</v>
      </c>
      <c r="AC127" s="351">
        <v>-224.69999999999996</v>
      </c>
    </row>
    <row r="128" spans="2:29" ht="14.25" thickBot="1">
      <c r="B128" s="424" t="s">
        <v>308</v>
      </c>
      <c r="C128" s="354">
        <f>C120+C127</f>
        <v>538.43210866999993</v>
      </c>
      <c r="D128" s="354">
        <f>D120+D127</f>
        <v>611.13210876000016</v>
      </c>
      <c r="E128" s="355">
        <f>E120+E127</f>
        <v>589.30000000000007</v>
      </c>
      <c r="F128" s="354">
        <f>F120+F127</f>
        <v>562.49999999999989</v>
      </c>
      <c r="G128" s="354">
        <f>G120+G127</f>
        <v>532.20000000000005</v>
      </c>
      <c r="H128" s="296">
        <f>E128-C128</f>
        <v>50.867891330000134</v>
      </c>
      <c r="AC128" s="351">
        <v>532.00000000000023</v>
      </c>
    </row>
    <row r="129" spans="2:29" ht="15.4">
      <c r="B129" s="343" t="s">
        <v>754</v>
      </c>
      <c r="C129" s="306">
        <f t="shared" ref="C129:G131" si="25">C28</f>
        <v>78.900000000000006</v>
      </c>
      <c r="D129" s="306">
        <f t="shared" si="25"/>
        <v>6.2</v>
      </c>
      <c r="E129" s="293">
        <f t="shared" si="25"/>
        <v>-28.720268000000001</v>
      </c>
      <c r="F129" s="306">
        <f t="shared" si="25"/>
        <v>-15.881070000000001</v>
      </c>
      <c r="G129" s="306">
        <f t="shared" si="25"/>
        <v>2.4091879999999999</v>
      </c>
      <c r="I129" s="294" t="s">
        <v>639</v>
      </c>
      <c r="AC129" s="351">
        <v>2.6091883726249336</v>
      </c>
    </row>
    <row r="130" spans="2:29" ht="13.9" thickBot="1">
      <c r="B130" s="359" t="s">
        <v>309</v>
      </c>
      <c r="C130" s="306">
        <f t="shared" si="25"/>
        <v>-41.9</v>
      </c>
      <c r="D130" s="306">
        <f t="shared" si="25"/>
        <v>-41.9</v>
      </c>
      <c r="E130" s="293">
        <f t="shared" si="25"/>
        <v>-11.8</v>
      </c>
      <c r="F130" s="306">
        <f t="shared" si="25"/>
        <v>-11.8</v>
      </c>
      <c r="G130" s="306">
        <f t="shared" si="25"/>
        <v>0</v>
      </c>
      <c r="AC130" s="351">
        <v>0</v>
      </c>
    </row>
    <row r="131" spans="2:29" ht="13.9" thickBot="1">
      <c r="B131" s="345" t="s">
        <v>643</v>
      </c>
      <c r="C131" s="352">
        <f t="shared" si="25"/>
        <v>0</v>
      </c>
      <c r="D131" s="352">
        <f t="shared" si="25"/>
        <v>0</v>
      </c>
      <c r="E131" s="353">
        <f t="shared" si="25"/>
        <v>0</v>
      </c>
      <c r="F131" s="352">
        <f t="shared" si="25"/>
        <v>-9</v>
      </c>
      <c r="G131" s="352">
        <f t="shared" si="25"/>
        <v>-21</v>
      </c>
      <c r="AC131" s="351">
        <v>-21</v>
      </c>
    </row>
    <row r="132" spans="2:29" ht="14.25" thickBot="1">
      <c r="B132" s="360" t="s">
        <v>310</v>
      </c>
      <c r="C132" s="354">
        <f>SUM(C128:C131)</f>
        <v>575.43210866999993</v>
      </c>
      <c r="D132" s="354">
        <f t="shared" ref="D132:G132" si="26">SUM(D128:D131)</f>
        <v>575.43210876000023</v>
      </c>
      <c r="E132" s="355">
        <f t="shared" si="26"/>
        <v>548.77973200000008</v>
      </c>
      <c r="F132" s="354">
        <f t="shared" si="26"/>
        <v>525.81892999999991</v>
      </c>
      <c r="G132" s="354">
        <f t="shared" si="26"/>
        <v>513.60918800000002</v>
      </c>
      <c r="H132" s="296">
        <f>E132-C132</f>
        <v>-26.652376669999853</v>
      </c>
      <c r="AC132" s="351">
        <v>513.60918837262511</v>
      </c>
    </row>
    <row r="133" spans="2:29">
      <c r="B133" s="362" t="s">
        <v>258</v>
      </c>
      <c r="C133" s="306">
        <f t="shared" ref="C133:G138" si="27">C32</f>
        <v>371.69868600000001</v>
      </c>
      <c r="D133" s="306">
        <f t="shared" si="27"/>
        <v>371.69868600000001</v>
      </c>
      <c r="E133" s="293">
        <f t="shared" si="27"/>
        <v>425.56700000000001</v>
      </c>
      <c r="F133" s="306">
        <f t="shared" si="27"/>
        <v>400.10599999999999</v>
      </c>
      <c r="G133" s="306">
        <f t="shared" si="27"/>
        <v>386.03800000000001</v>
      </c>
      <c r="I133" s="294" t="s">
        <v>638</v>
      </c>
      <c r="AC133" s="351">
        <v>386.03800000000001</v>
      </c>
    </row>
    <row r="134" spans="2:29">
      <c r="B134" s="343" t="s">
        <v>238</v>
      </c>
      <c r="C134" s="306">
        <f t="shared" si="27"/>
        <v>125.05744598477598</v>
      </c>
      <c r="D134" s="306">
        <f t="shared" si="27"/>
        <v>125.05744598477598</v>
      </c>
      <c r="E134" s="293">
        <f t="shared" si="27"/>
        <v>56.436755134395391</v>
      </c>
      <c r="F134" s="306">
        <f t="shared" si="27"/>
        <v>57.712929777083303</v>
      </c>
      <c r="G134" s="306">
        <f t="shared" si="27"/>
        <v>58.871188372624999</v>
      </c>
      <c r="AC134" s="351">
        <v>58.871188372624999</v>
      </c>
    </row>
    <row r="135" spans="2:29">
      <c r="B135" s="343" t="str">
        <f>B34</f>
        <v>22-23 DLUHC General Services Grant</v>
      </c>
      <c r="C135" s="306">
        <f t="shared" si="27"/>
        <v>12.600000000000001</v>
      </c>
      <c r="D135" s="306">
        <f t="shared" si="27"/>
        <v>12.600000000000001</v>
      </c>
      <c r="E135" s="293">
        <f t="shared" si="27"/>
        <v>0</v>
      </c>
      <c r="F135" s="306">
        <f t="shared" si="27"/>
        <v>0</v>
      </c>
      <c r="G135" s="306">
        <f t="shared" si="27"/>
        <v>0</v>
      </c>
      <c r="AC135" s="351">
        <v>0</v>
      </c>
    </row>
    <row r="136" spans="2:29" ht="13.9" thickBot="1">
      <c r="B136" s="343" t="s">
        <v>388</v>
      </c>
      <c r="C136" s="352">
        <f t="shared" si="27"/>
        <v>-0.62402308963083497</v>
      </c>
      <c r="D136" s="352">
        <f t="shared" si="27"/>
        <v>-0.62402308963083497</v>
      </c>
      <c r="E136" s="353">
        <f t="shared" si="27"/>
        <v>-0.62402308963083497</v>
      </c>
      <c r="F136" s="352">
        <f t="shared" si="27"/>
        <v>0</v>
      </c>
      <c r="G136" s="352">
        <f t="shared" si="27"/>
        <v>0</v>
      </c>
      <c r="AC136" s="351">
        <v>0</v>
      </c>
    </row>
    <row r="137" spans="2:29" ht="14.25" thickBot="1">
      <c r="B137" s="337" t="s">
        <v>262</v>
      </c>
      <c r="C137" s="354">
        <f t="shared" si="27"/>
        <v>66.699999774854746</v>
      </c>
      <c r="D137" s="354">
        <f t="shared" si="27"/>
        <v>66.699999864855045</v>
      </c>
      <c r="E137" s="355">
        <f t="shared" si="27"/>
        <v>67.399999955235614</v>
      </c>
      <c r="F137" s="354">
        <f t="shared" si="27"/>
        <v>68.000000222916697</v>
      </c>
      <c r="G137" s="354">
        <f t="shared" si="27"/>
        <v>68.699999627375007</v>
      </c>
      <c r="H137" s="296">
        <f>E137-C137</f>
        <v>0.70000018038086864</v>
      </c>
      <c r="AC137" s="351">
        <v>68.700000000000102</v>
      </c>
    </row>
    <row r="138" spans="2:29" ht="13.9">
      <c r="B138" s="334" t="s">
        <v>263</v>
      </c>
      <c r="C138" s="333" t="e">
        <f t="shared" si="27"/>
        <v>#REF!</v>
      </c>
      <c r="D138" s="333" t="e">
        <f t="shared" si="27"/>
        <v>#REF!</v>
      </c>
      <c r="E138" s="333" t="e">
        <f t="shared" si="27"/>
        <v>#REF!</v>
      </c>
      <c r="F138" s="333" t="e">
        <f t="shared" si="27"/>
        <v>#REF!</v>
      </c>
      <c r="G138" s="333" t="e">
        <f t="shared" si="27"/>
        <v>#REF!</v>
      </c>
      <c r="I138" s="294" t="s">
        <v>637</v>
      </c>
      <c r="AC138" s="351">
        <v>68.7</v>
      </c>
    </row>
    <row r="139" spans="2:29" ht="13.9">
      <c r="B139" s="334" t="s">
        <v>264</v>
      </c>
      <c r="C139" s="390" t="e">
        <f>ROUND(C138-C137,6)</f>
        <v>#REF!</v>
      </c>
      <c r="D139" s="390" t="e">
        <f>ROUND(D138-D137,6)</f>
        <v>#REF!</v>
      </c>
      <c r="E139" s="390" t="e">
        <f>ROUND(E138-E137,6)</f>
        <v>#REF!</v>
      </c>
      <c r="F139" s="390" t="e">
        <f>ROUND(F138-F137,6)</f>
        <v>#REF!</v>
      </c>
      <c r="G139" s="390" t="e">
        <f>ROUND(G138-G137,6)</f>
        <v>#REF!</v>
      </c>
      <c r="AC139" s="351">
        <v>0</v>
      </c>
    </row>
    <row r="140" spans="2:29" ht="13.9">
      <c r="B140" s="334" t="s">
        <v>265</v>
      </c>
      <c r="C140" s="390">
        <f>SUM(C133:C137)-C132</f>
        <v>0</v>
      </c>
      <c r="D140" s="390">
        <f>SUM(D133:D137)-D132</f>
        <v>0</v>
      </c>
      <c r="E140" s="390">
        <f>SUM(E133:E137)-E132</f>
        <v>0</v>
      </c>
      <c r="F140" s="390">
        <f>SUM(F133:F137)-F132</f>
        <v>0</v>
      </c>
      <c r="G140" s="390">
        <f>SUM(G133:G137)-G132</f>
        <v>0</v>
      </c>
      <c r="AC140" s="351">
        <v>0</v>
      </c>
    </row>
    <row r="142" spans="2:29" ht="14.25" thickBot="1">
      <c r="B142" s="298" t="s">
        <v>311</v>
      </c>
      <c r="C142" s="394"/>
      <c r="D142" s="394"/>
      <c r="E142" s="394"/>
      <c r="F142" s="394"/>
      <c r="G142" s="394"/>
    </row>
    <row r="143" spans="2:29" ht="15" customHeight="1" thickBot="1">
      <c r="B143" s="423"/>
      <c r="C143" s="479" t="s">
        <v>138</v>
      </c>
      <c r="D143" s="479" t="s">
        <v>243</v>
      </c>
      <c r="E143" s="480" t="s">
        <v>231</v>
      </c>
      <c r="F143" s="479" t="s">
        <v>140</v>
      </c>
      <c r="G143" s="479" t="s">
        <v>140</v>
      </c>
      <c r="AC143" s="351" t="s">
        <v>140</v>
      </c>
    </row>
    <row r="144" spans="2:29" ht="13.9">
      <c r="B144" s="421" t="s">
        <v>312</v>
      </c>
      <c r="C144" s="479"/>
      <c r="D144" s="479"/>
      <c r="E144" s="480"/>
      <c r="F144" s="479"/>
      <c r="G144" s="479"/>
    </row>
    <row r="145" spans="2:29" ht="13.9">
      <c r="B145" s="421"/>
      <c r="C145" s="296" t="s">
        <v>127</v>
      </c>
      <c r="D145" s="296" t="s">
        <v>127</v>
      </c>
      <c r="E145" s="291" t="s">
        <v>128</v>
      </c>
      <c r="F145" s="296" t="s">
        <v>129</v>
      </c>
      <c r="G145" s="296" t="s">
        <v>130</v>
      </c>
      <c r="O145" s="373" t="s">
        <v>71</v>
      </c>
      <c r="P145" s="373" t="s">
        <v>677</v>
      </c>
      <c r="AC145" s="351" t="s">
        <v>130</v>
      </c>
    </row>
    <row r="146" spans="2:29" ht="14.25" thickBot="1">
      <c r="B146" s="424"/>
      <c r="C146" s="303" t="s">
        <v>40</v>
      </c>
      <c r="D146" s="303" t="s">
        <v>40</v>
      </c>
      <c r="E146" s="304" t="s">
        <v>40</v>
      </c>
      <c r="F146" s="303" t="s">
        <v>40</v>
      </c>
      <c r="G146" s="303" t="s">
        <v>40</v>
      </c>
      <c r="O146" s="351" t="s">
        <v>719</v>
      </c>
      <c r="P146" s="351">
        <v>9</v>
      </c>
      <c r="AC146" s="351" t="s">
        <v>40</v>
      </c>
    </row>
    <row r="147" spans="2:29" ht="13.9">
      <c r="B147" s="365" t="s">
        <v>313</v>
      </c>
      <c r="C147" s="296"/>
      <c r="D147" s="296"/>
      <c r="E147" s="291"/>
      <c r="F147" s="296"/>
      <c r="G147" s="296"/>
      <c r="H147" s="392"/>
      <c r="O147" s="351" t="s">
        <v>720</v>
      </c>
      <c r="P147" s="351">
        <v>4</v>
      </c>
    </row>
    <row r="148" spans="2:29">
      <c r="B148" s="366" t="s">
        <v>314</v>
      </c>
      <c r="C148" s="367">
        <v>0.9</v>
      </c>
      <c r="D148" s="367">
        <v>0.9</v>
      </c>
      <c r="E148" s="293">
        <v>3</v>
      </c>
      <c r="F148" s="367">
        <v>3</v>
      </c>
      <c r="G148" s="367">
        <v>3</v>
      </c>
      <c r="H148" s="392" t="s">
        <v>692</v>
      </c>
      <c r="I148" s="429"/>
      <c r="O148" s="351" t="s">
        <v>721</v>
      </c>
      <c r="P148" s="351">
        <v>10</v>
      </c>
      <c r="AC148" s="351">
        <v>3</v>
      </c>
    </row>
    <row r="149" spans="2:29">
      <c r="B149" s="366" t="s">
        <v>315</v>
      </c>
      <c r="C149" s="367">
        <v>5</v>
      </c>
      <c r="D149" s="367">
        <v>7.5</v>
      </c>
      <c r="E149" s="293">
        <v>5</v>
      </c>
      <c r="F149" s="367">
        <v>5</v>
      </c>
      <c r="G149" s="367">
        <v>5</v>
      </c>
      <c r="H149" s="392" t="s">
        <v>693</v>
      </c>
      <c r="I149" s="429"/>
      <c r="O149" s="351" t="s">
        <v>722</v>
      </c>
      <c r="P149" s="351">
        <v>17.899999999999999</v>
      </c>
      <c r="AC149" s="351">
        <v>5</v>
      </c>
    </row>
    <row r="150" spans="2:29">
      <c r="B150" s="368" t="s">
        <v>316</v>
      </c>
      <c r="C150" s="367">
        <v>30</v>
      </c>
      <c r="D150" s="367">
        <v>30</v>
      </c>
      <c r="E150" s="293">
        <v>27.826630700000003</v>
      </c>
      <c r="F150" s="367">
        <v>0</v>
      </c>
      <c r="G150" s="367">
        <v>0</v>
      </c>
      <c r="H150" s="392" t="s">
        <v>698</v>
      </c>
      <c r="I150" s="429"/>
      <c r="O150" s="351" t="s">
        <v>723</v>
      </c>
      <c r="P150" s="351">
        <v>10</v>
      </c>
      <c r="AC150" s="351">
        <v>0</v>
      </c>
    </row>
    <row r="151" spans="2:29" ht="13.9">
      <c r="B151" s="368" t="s">
        <v>317</v>
      </c>
      <c r="C151" s="367">
        <v>0</v>
      </c>
      <c r="D151" s="367">
        <v>7.5003960100000029</v>
      </c>
      <c r="E151" s="293">
        <v>0</v>
      </c>
      <c r="F151" s="367">
        <v>0</v>
      </c>
      <c r="G151" s="367">
        <v>0</v>
      </c>
      <c r="H151" s="392" t="s">
        <v>699</v>
      </c>
      <c r="I151" s="429"/>
      <c r="O151" s="373" t="s">
        <v>717</v>
      </c>
      <c r="P151" s="373">
        <v>50.9</v>
      </c>
      <c r="AC151" s="351">
        <v>0</v>
      </c>
    </row>
    <row r="152" spans="2:29">
      <c r="B152" s="368" t="s">
        <v>318</v>
      </c>
      <c r="C152" s="367">
        <v>14</v>
      </c>
      <c r="D152" s="367">
        <v>14</v>
      </c>
      <c r="E152" s="293">
        <v>10</v>
      </c>
      <c r="F152" s="367">
        <v>5</v>
      </c>
      <c r="G152" s="367">
        <v>0</v>
      </c>
      <c r="H152" s="392" t="s">
        <v>699</v>
      </c>
      <c r="I152" s="429"/>
      <c r="AC152" s="351">
        <v>0</v>
      </c>
    </row>
    <row r="153" spans="2:29" ht="27">
      <c r="B153" s="368" t="s">
        <v>319</v>
      </c>
      <c r="C153" s="367">
        <v>0</v>
      </c>
      <c r="D153" s="367">
        <v>0</v>
      </c>
      <c r="E153" s="293">
        <v>0</v>
      </c>
      <c r="F153" s="367">
        <v>0</v>
      </c>
      <c r="G153" s="367">
        <v>0</v>
      </c>
      <c r="H153" s="392" t="s">
        <v>699</v>
      </c>
      <c r="I153" s="429"/>
      <c r="O153" s="351" t="s">
        <v>724</v>
      </c>
      <c r="P153" s="351">
        <v>58.1</v>
      </c>
      <c r="AC153" s="351">
        <v>0</v>
      </c>
    </row>
    <row r="154" spans="2:29" ht="13.9">
      <c r="B154" s="369" t="s">
        <v>320</v>
      </c>
      <c r="C154" s="367"/>
      <c r="D154" s="367"/>
      <c r="E154" s="293"/>
      <c r="F154" s="367"/>
      <c r="G154" s="367"/>
      <c r="H154" s="392"/>
      <c r="I154" s="429"/>
      <c r="O154" s="351" t="s">
        <v>625</v>
      </c>
      <c r="P154" s="351">
        <v>-9</v>
      </c>
    </row>
    <row r="155" spans="2:29" ht="13.9">
      <c r="B155" s="368" t="s">
        <v>321</v>
      </c>
      <c r="C155" s="367">
        <v>3.8</v>
      </c>
      <c r="D155" s="367" t="e">
        <f>-#REF!</f>
        <v>#REF!</v>
      </c>
      <c r="E155" s="293" t="e">
        <f>-#REF!</f>
        <v>#REF!</v>
      </c>
      <c r="F155" s="367" t="e">
        <f>-#REF!</f>
        <v>#REF!</v>
      </c>
      <c r="G155" s="367" t="e">
        <f>-#REF!</f>
        <v>#REF!</v>
      </c>
      <c r="H155" s="392" t="s">
        <v>702</v>
      </c>
      <c r="I155" s="429"/>
      <c r="O155" s="373" t="s">
        <v>725</v>
      </c>
      <c r="P155" s="373">
        <f>SUM(P153:P154)</f>
        <v>49.1</v>
      </c>
      <c r="AC155" s="351">
        <v>0</v>
      </c>
    </row>
    <row r="156" spans="2:29">
      <c r="B156" s="368" t="s">
        <v>614</v>
      </c>
      <c r="C156" s="367">
        <v>0</v>
      </c>
      <c r="D156" s="367" t="e">
        <f>-#REF!</f>
        <v>#REF!</v>
      </c>
      <c r="E156" s="293" t="e">
        <f>-#REF!</f>
        <v>#REF!</v>
      </c>
      <c r="F156" s="367" t="e">
        <f>-#REF!</f>
        <v>#REF!</v>
      </c>
      <c r="G156" s="367" t="e">
        <f>-#REF!</f>
        <v>#REF!</v>
      </c>
      <c r="H156" s="392" t="s">
        <v>702</v>
      </c>
      <c r="I156" s="429"/>
      <c r="O156" s="351" t="s">
        <v>726</v>
      </c>
      <c r="P156" s="351">
        <v>46.7</v>
      </c>
      <c r="AC156" s="351">
        <v>4.4000000000000004</v>
      </c>
    </row>
    <row r="157" spans="2:29">
      <c r="B157" s="368" t="s">
        <v>750</v>
      </c>
      <c r="C157" s="367">
        <v>41.9</v>
      </c>
      <c r="D157" s="367">
        <f>41.9+9</f>
        <v>50.9</v>
      </c>
      <c r="E157" s="293">
        <v>11.8</v>
      </c>
      <c r="F157" s="367">
        <v>11.8</v>
      </c>
      <c r="G157" s="367">
        <v>0</v>
      </c>
      <c r="H157" s="392" t="s">
        <v>693</v>
      </c>
      <c r="I157" s="429"/>
      <c r="AC157" s="351">
        <v>0</v>
      </c>
    </row>
    <row r="158" spans="2:29">
      <c r="B158" s="368" t="s">
        <v>751</v>
      </c>
      <c r="C158" s="367">
        <v>48.449857019999854</v>
      </c>
      <c r="D158" s="367" t="e">
        <f>#REF!+43.5</f>
        <v>#REF!</v>
      </c>
      <c r="E158" s="293" t="e">
        <f>#REF!</f>
        <v>#REF!</v>
      </c>
      <c r="F158" s="367" t="e">
        <f>#REF!</f>
        <v>#REF!</v>
      </c>
      <c r="G158" s="367" t="e">
        <f>#REF!</f>
        <v>#REF!</v>
      </c>
      <c r="H158" s="392" t="s">
        <v>755</v>
      </c>
      <c r="I158" s="429"/>
      <c r="J158" s="351" t="s">
        <v>712</v>
      </c>
      <c r="AC158" s="351">
        <v>32.9</v>
      </c>
    </row>
    <row r="159" spans="2:29" ht="13.9">
      <c r="B159" s="369" t="s">
        <v>75</v>
      </c>
      <c r="C159" s="367"/>
      <c r="D159" s="367"/>
      <c r="E159" s="293"/>
      <c r="F159" s="367"/>
      <c r="G159" s="367"/>
      <c r="H159" s="392"/>
      <c r="I159" s="429"/>
      <c r="L159" s="395" t="s">
        <v>752</v>
      </c>
      <c r="M159" s="396"/>
      <c r="N159" s="396"/>
      <c r="O159" s="396"/>
    </row>
    <row r="160" spans="2:29" ht="13.9">
      <c r="B160" s="369" t="s">
        <v>322</v>
      </c>
      <c r="C160" s="367">
        <v>-155.5</v>
      </c>
      <c r="D160" s="367" t="e">
        <f>#REF!</f>
        <v>#REF!</v>
      </c>
      <c r="E160" s="293" t="e">
        <f>#REF!</f>
        <v>#REF!</v>
      </c>
      <c r="F160" s="367" t="e">
        <f>#REF!</f>
        <v>#REF!</v>
      </c>
      <c r="G160" s="367" t="e">
        <f>#REF!</f>
        <v>#REF!</v>
      </c>
      <c r="H160" s="392" t="s">
        <v>693</v>
      </c>
      <c r="I160" s="429"/>
      <c r="AC160" s="351">
        <v>0</v>
      </c>
    </row>
    <row r="161" spans="2:29">
      <c r="B161" s="368" t="s">
        <v>710</v>
      </c>
      <c r="C161" s="367">
        <v>0</v>
      </c>
      <c r="D161" s="367">
        <v>0</v>
      </c>
      <c r="E161" s="293">
        <v>0</v>
      </c>
      <c r="F161" s="367">
        <v>0</v>
      </c>
      <c r="G161" s="367">
        <v>0</v>
      </c>
      <c r="H161" s="392" t="s">
        <v>693</v>
      </c>
      <c r="I161" s="429"/>
      <c r="AC161" s="351">
        <v>0</v>
      </c>
    </row>
    <row r="162" spans="2:29" ht="13.9">
      <c r="B162" s="369" t="s">
        <v>323</v>
      </c>
      <c r="C162" s="367"/>
      <c r="D162" s="367"/>
      <c r="E162" s="293"/>
      <c r="F162" s="367"/>
      <c r="G162" s="367"/>
      <c r="H162" s="392"/>
      <c r="I162" s="429"/>
    </row>
    <row r="163" spans="2:29" ht="27">
      <c r="B163" s="368" t="s">
        <v>324</v>
      </c>
      <c r="C163" s="367">
        <v>86.538094416666695</v>
      </c>
      <c r="D163" s="367">
        <v>86.538094416666695</v>
      </c>
      <c r="E163" s="293">
        <f>86.5380944166667+22.5</f>
        <v>109.03809441666669</v>
      </c>
      <c r="F163" s="367">
        <v>0</v>
      </c>
      <c r="G163" s="367">
        <v>0</v>
      </c>
      <c r="H163" s="351" t="s">
        <v>693</v>
      </c>
      <c r="I163" s="429"/>
      <c r="AC163" s="351">
        <v>0</v>
      </c>
    </row>
    <row r="164" spans="2:29">
      <c r="B164" s="368" t="s">
        <v>711</v>
      </c>
      <c r="C164" s="367">
        <v>0</v>
      </c>
      <c r="D164" s="367">
        <f>671+161</f>
        <v>832</v>
      </c>
      <c r="E164" s="293">
        <v>0</v>
      </c>
      <c r="F164" s="367">
        <v>0</v>
      </c>
      <c r="G164" s="367">
        <v>0</v>
      </c>
      <c r="H164" s="351" t="s">
        <v>693</v>
      </c>
      <c r="AC164" s="351">
        <v>0</v>
      </c>
    </row>
    <row r="165" spans="2:29">
      <c r="B165" s="368" t="s">
        <v>713</v>
      </c>
      <c r="C165" s="367">
        <v>0</v>
      </c>
      <c r="D165" s="367">
        <v>1.1729E-2</v>
      </c>
      <c r="E165" s="293">
        <v>0</v>
      </c>
      <c r="F165" s="367">
        <v>0</v>
      </c>
      <c r="G165" s="367">
        <v>4.5400000000000003E-2</v>
      </c>
      <c r="H165" s="351" t="s">
        <v>716</v>
      </c>
      <c r="K165" s="427">
        <v>374.3</v>
      </c>
      <c r="AC165" s="351">
        <v>4.5400000000000003E-2</v>
      </c>
    </row>
    <row r="166" spans="2:29">
      <c r="B166" s="368" t="s">
        <v>325</v>
      </c>
      <c r="C166" s="367">
        <v>29.085716750000245</v>
      </c>
      <c r="D166" s="367">
        <f>(-3.3-50+11-47.5+5.5+10.9)+-0.014283</f>
        <v>-73.414282999999998</v>
      </c>
      <c r="E166" s="293">
        <f>11</f>
        <v>11</v>
      </c>
      <c r="F166" s="367">
        <v>0</v>
      </c>
      <c r="G166" s="367">
        <v>0</v>
      </c>
      <c r="H166" s="351" t="s">
        <v>693</v>
      </c>
      <c r="AC166" s="351">
        <v>0</v>
      </c>
    </row>
    <row r="167" spans="2:29" ht="13.9" thickBot="1">
      <c r="B167" s="370" t="s">
        <v>326</v>
      </c>
      <c r="C167" s="313">
        <v>793.63683900000001</v>
      </c>
      <c r="D167" s="313">
        <v>793.63683900000001</v>
      </c>
      <c r="E167" s="347">
        <v>717.5</v>
      </c>
      <c r="F167" s="346">
        <v>717.5</v>
      </c>
      <c r="G167" s="346">
        <v>717.5</v>
      </c>
      <c r="H167" s="351" t="s">
        <v>692</v>
      </c>
      <c r="AC167" s="351">
        <v>717.5</v>
      </c>
    </row>
    <row r="168" spans="2:29" ht="14.25" thickBot="1">
      <c r="B168" s="371" t="s">
        <v>327</v>
      </c>
      <c r="C168" s="303">
        <f>SUM(C148:C167)</f>
        <v>897.81050718666677</v>
      </c>
      <c r="D168" s="303" t="e">
        <f>SUM(D148:D167)</f>
        <v>#REF!</v>
      </c>
      <c r="E168" s="372" t="e">
        <f>SUM(E148:E167)</f>
        <v>#REF!</v>
      </c>
      <c r="F168" s="303" t="e">
        <f>SUM(F148:F167)</f>
        <v>#REF!</v>
      </c>
      <c r="G168" s="303" t="e">
        <f>SUM(G148:G167)</f>
        <v>#REF!</v>
      </c>
      <c r="AC168" s="351">
        <v>762.84540000000004</v>
      </c>
    </row>
    <row r="169" spans="2:29">
      <c r="B169" s="368" t="s">
        <v>328</v>
      </c>
      <c r="C169" s="367">
        <v>-3.8</v>
      </c>
      <c r="D169" s="367" t="e">
        <f>-D155-D156+1.1+5.5-0.0635027600000013</f>
        <v>#REF!</v>
      </c>
      <c r="E169" s="293" t="e">
        <f>-E155-E156+3.9</f>
        <v>#REF!</v>
      </c>
      <c r="F169" s="367" t="e">
        <f>-F155-F156+4.8</f>
        <v>#REF!</v>
      </c>
      <c r="G169" s="367" t="e">
        <f>-G155-G156</f>
        <v>#REF!</v>
      </c>
      <c r="AC169" s="351">
        <v>-4.4000000000000004</v>
      </c>
    </row>
    <row r="170" spans="2:29">
      <c r="B170" s="368" t="s">
        <v>329</v>
      </c>
      <c r="C170" s="367">
        <v>-30</v>
      </c>
      <c r="D170" s="367">
        <v>-30</v>
      </c>
      <c r="E170" s="293">
        <f>-E150</f>
        <v>-27.826630700000003</v>
      </c>
      <c r="F170" s="367">
        <v>0</v>
      </c>
      <c r="G170" s="367">
        <v>0</v>
      </c>
      <c r="AC170" s="351">
        <v>0</v>
      </c>
    </row>
    <row r="171" spans="2:29">
      <c r="B171" s="368" t="s">
        <v>330</v>
      </c>
      <c r="C171" s="367">
        <v>-14</v>
      </c>
      <c r="D171" s="367">
        <f>-D151-D152-D153</f>
        <v>-21.500396010000003</v>
      </c>
      <c r="E171" s="293">
        <f>-E151-E152-E153</f>
        <v>-10</v>
      </c>
      <c r="F171" s="367">
        <f>-F151-F152-F153</f>
        <v>-5</v>
      </c>
      <c r="G171" s="367">
        <f>-G151-G152-G153</f>
        <v>0</v>
      </c>
      <c r="AC171" s="351">
        <v>0</v>
      </c>
    </row>
    <row r="172" spans="2:29">
      <c r="B172" s="368" t="s">
        <v>700</v>
      </c>
      <c r="C172" s="367">
        <v>166.03128498000001</v>
      </c>
      <c r="D172" s="367">
        <f>D64</f>
        <v>142.47100000000006</v>
      </c>
      <c r="E172" s="293">
        <f>E64</f>
        <v>-101.5</v>
      </c>
      <c r="F172" s="367">
        <f>F64</f>
        <v>-28.300000000000011</v>
      </c>
      <c r="G172" s="367">
        <f>G64</f>
        <v>-32.945400000000006</v>
      </c>
      <c r="AC172" s="351">
        <v>-32.945400000000006</v>
      </c>
    </row>
    <row r="173" spans="2:29" ht="15" customHeight="1" thickBot="1">
      <c r="B173" s="368" t="s">
        <v>331</v>
      </c>
      <c r="C173" s="313">
        <f>-81.8238111666669+71.782019</f>
        <v>-10.041792166666895</v>
      </c>
      <c r="D173" s="313">
        <f>D61</f>
        <v>-871.02387683999996</v>
      </c>
      <c r="E173" s="347" t="e">
        <f>-E1-E16466-E157-E160-E166-E165-E163-E149-3.9-E161+110</f>
        <v>#REF!</v>
      </c>
      <c r="F173" s="346" t="e">
        <f>-F149-F157-F160-4.8</f>
        <v>#REF!</v>
      </c>
      <c r="G173" s="346" t="e">
        <f>-G149-G157-G160</f>
        <v>#REF!</v>
      </c>
      <c r="H173" s="351" t="s">
        <v>703</v>
      </c>
      <c r="AC173" s="351">
        <v>-5</v>
      </c>
    </row>
    <row r="174" spans="2:29" ht="15" customHeight="1" thickBot="1">
      <c r="B174" s="371" t="s">
        <v>310</v>
      </c>
      <c r="C174" s="303">
        <f>SUM(C168:C173)</f>
        <v>1005.9999999999999</v>
      </c>
      <c r="D174" s="303" t="e">
        <f>SUM(D168:D173)</f>
        <v>#REF!</v>
      </c>
      <c r="E174" s="372" t="e">
        <f>SUM(E168:E173)</f>
        <v>#REF!</v>
      </c>
      <c r="F174" s="303" t="e">
        <f>SUM(F168:F173)</f>
        <v>#REF!</v>
      </c>
      <c r="G174" s="303" t="e">
        <f>SUM(G168:G173)</f>
        <v>#REF!</v>
      </c>
      <c r="AC174" s="351">
        <v>720.5</v>
      </c>
    </row>
    <row r="175" spans="2:29" ht="15" customHeight="1">
      <c r="B175" s="368" t="s">
        <v>259</v>
      </c>
      <c r="C175" s="367">
        <v>15.8</v>
      </c>
      <c r="D175" s="367">
        <v>15.8</v>
      </c>
      <c r="E175" s="293">
        <v>0</v>
      </c>
      <c r="F175" s="367">
        <v>0</v>
      </c>
      <c r="G175" s="367">
        <v>0</v>
      </c>
      <c r="AC175" s="351">
        <v>0</v>
      </c>
    </row>
    <row r="176" spans="2:29" ht="15" customHeight="1">
      <c r="B176" s="368" t="s">
        <v>260</v>
      </c>
      <c r="C176" s="367">
        <v>9.8000000000000007</v>
      </c>
      <c r="D176" s="367">
        <v>9.8000000000000007</v>
      </c>
      <c r="E176" s="293">
        <v>0</v>
      </c>
      <c r="F176" s="367">
        <v>0</v>
      </c>
      <c r="G176" s="367">
        <v>0</v>
      </c>
      <c r="AC176" s="351">
        <v>0</v>
      </c>
    </row>
    <row r="177" spans="2:29" ht="13.9" thickBot="1">
      <c r="B177" s="368" t="s">
        <v>238</v>
      </c>
      <c r="C177" s="313">
        <v>918.9</v>
      </c>
      <c r="D177" s="313">
        <f>918.9+31</f>
        <v>949.9</v>
      </c>
      <c r="E177" s="347">
        <f>E167+E148+110</f>
        <v>830.5</v>
      </c>
      <c r="F177" s="346">
        <f>F167+F148</f>
        <v>720.5</v>
      </c>
      <c r="G177" s="346">
        <f>G167+G148</f>
        <v>720.5</v>
      </c>
      <c r="H177" s="351" t="s">
        <v>692</v>
      </c>
      <c r="AC177" s="351">
        <v>720.5</v>
      </c>
    </row>
    <row r="178" spans="2:29" ht="14.25" thickBot="1">
      <c r="B178" s="371" t="s">
        <v>262</v>
      </c>
      <c r="C178" s="303">
        <f>C174-SUM(C175:C177)</f>
        <v>61.499999999999886</v>
      </c>
      <c r="D178" s="303" t="e">
        <f>D174-SUM(D175:D177)</f>
        <v>#REF!</v>
      </c>
      <c r="E178" s="372" t="e">
        <f>E174-SUM(E175:E177)</f>
        <v>#REF!</v>
      </c>
      <c r="F178" s="303" t="e">
        <f>F174-SUM(F175:F177)</f>
        <v>#REF!</v>
      </c>
      <c r="G178" s="303" t="e">
        <f>G174-SUM(G175:G177)</f>
        <v>#REF!</v>
      </c>
      <c r="AC178" s="351">
        <v>0</v>
      </c>
    </row>
    <row r="179" spans="2:29" ht="13.9">
      <c r="B179" s="334" t="s">
        <v>263</v>
      </c>
      <c r="C179" s="333">
        <v>61.5</v>
      </c>
      <c r="D179" s="333">
        <v>61.5</v>
      </c>
      <c r="E179" s="333">
        <v>0</v>
      </c>
      <c r="F179" s="333">
        <v>0</v>
      </c>
      <c r="G179" s="333">
        <v>0</v>
      </c>
      <c r="H179" s="392"/>
      <c r="AC179" s="351">
        <v>0</v>
      </c>
    </row>
    <row r="180" spans="2:29" ht="13.9">
      <c r="B180" s="334" t="s">
        <v>264</v>
      </c>
      <c r="C180" s="390">
        <f>ROUND(C179-C178,6)</f>
        <v>0</v>
      </c>
      <c r="D180" s="390" t="e">
        <f>ROUND(D179-D178,6)</f>
        <v>#REF!</v>
      </c>
      <c r="E180" s="390" t="e">
        <f>ROUND(E179-E178,6)</f>
        <v>#REF!</v>
      </c>
      <c r="F180" s="390" t="e">
        <f>ROUND(F179-F178,6)</f>
        <v>#REF!</v>
      </c>
      <c r="G180" s="390" t="e">
        <f>ROUND(G179-G178,6)</f>
        <v>#REF!</v>
      </c>
      <c r="AC180" s="351">
        <v>0</v>
      </c>
    </row>
    <row r="181" spans="2:29" ht="13.9">
      <c r="B181" s="334" t="s">
        <v>265</v>
      </c>
      <c r="C181" s="390">
        <f>SUM(C175:C178)-C174</f>
        <v>0</v>
      </c>
      <c r="D181" s="390" t="e">
        <f>SUM(D175:D178)-D174</f>
        <v>#REF!</v>
      </c>
      <c r="E181" s="390" t="e">
        <f>SUM(E175:E178)-E174</f>
        <v>#REF!</v>
      </c>
      <c r="F181" s="390" t="e">
        <f>SUM(F175:F178)-F174</f>
        <v>#REF!</v>
      </c>
      <c r="G181" s="390" t="e">
        <f>SUM(G175:G178)-G174</f>
        <v>#REF!</v>
      </c>
      <c r="AC181" s="351">
        <v>0</v>
      </c>
    </row>
    <row r="182" spans="2:29" ht="13.9">
      <c r="B182" s="334"/>
      <c r="C182" s="390"/>
      <c r="D182" s="390"/>
      <c r="E182" s="390"/>
      <c r="F182" s="390"/>
      <c r="G182" s="390"/>
    </row>
    <row r="183" spans="2:29" ht="13.9">
      <c r="B183" s="334" t="s">
        <v>694</v>
      </c>
      <c r="C183" s="390"/>
      <c r="D183" s="390" t="e">
        <f>D169-D63</f>
        <v>#REF!</v>
      </c>
      <c r="E183" s="390" t="e">
        <f>E169-E63</f>
        <v>#REF!</v>
      </c>
      <c r="F183" s="390" t="e">
        <f>F169-F63</f>
        <v>#REF!</v>
      </c>
      <c r="G183" s="390" t="e">
        <f>G169-G63</f>
        <v>#REF!</v>
      </c>
      <c r="AC183" s="351">
        <v>0</v>
      </c>
    </row>
    <row r="184" spans="2:29" ht="13.9">
      <c r="B184" s="334" t="s">
        <v>695</v>
      </c>
      <c r="C184" s="390"/>
      <c r="D184" s="390">
        <f>D170-D68</f>
        <v>0</v>
      </c>
      <c r="E184" s="390">
        <f>E170-E68</f>
        <v>0</v>
      </c>
      <c r="F184" s="390">
        <f>F170-F68</f>
        <v>0</v>
      </c>
      <c r="G184" s="390">
        <f>G170-G68</f>
        <v>0</v>
      </c>
      <c r="AC184" s="351">
        <v>0</v>
      </c>
    </row>
    <row r="185" spans="2:29" ht="13.9">
      <c r="B185" s="334" t="s">
        <v>696</v>
      </c>
      <c r="C185" s="390"/>
      <c r="D185" s="390">
        <f>D171-D62</f>
        <v>0</v>
      </c>
      <c r="E185" s="390">
        <f>E171-E62</f>
        <v>0</v>
      </c>
      <c r="F185" s="390">
        <f>F171-F62</f>
        <v>0</v>
      </c>
      <c r="G185" s="390">
        <f>G171-G62</f>
        <v>0</v>
      </c>
      <c r="AC185" s="351">
        <v>0</v>
      </c>
    </row>
    <row r="186" spans="2:29" ht="13.9">
      <c r="B186" s="334" t="s">
        <v>701</v>
      </c>
      <c r="C186" s="390"/>
      <c r="D186" s="390">
        <f>D172-D64</f>
        <v>0</v>
      </c>
      <c r="E186" s="390">
        <f>E172-E64</f>
        <v>0</v>
      </c>
      <c r="F186" s="390">
        <f>F172-F64</f>
        <v>0</v>
      </c>
      <c r="G186" s="390">
        <f>G172-G64</f>
        <v>0</v>
      </c>
      <c r="AC186" s="351">
        <v>0</v>
      </c>
    </row>
    <row r="187" spans="2:29" ht="13.9">
      <c r="B187" s="334" t="s">
        <v>697</v>
      </c>
      <c r="C187" s="390"/>
      <c r="D187" s="390">
        <f>ROUND(D173-D61,1)</f>
        <v>0</v>
      </c>
      <c r="E187" s="390" t="e">
        <f>ROUND(E173-E61,1)</f>
        <v>#REF!</v>
      </c>
      <c r="F187" s="390" t="e">
        <f>ROUND(F173-F61,1)</f>
        <v>#REF!</v>
      </c>
      <c r="G187" s="390" t="e">
        <f>ROUND(G173-G61,1)</f>
        <v>#REF!</v>
      </c>
      <c r="AC187" s="351">
        <v>0</v>
      </c>
    </row>
    <row r="188" spans="2:29" ht="13.9">
      <c r="B188" s="334"/>
      <c r="C188" s="390"/>
      <c r="D188" s="390"/>
      <c r="E188" s="390"/>
      <c r="F188" s="390"/>
      <c r="G188" s="390"/>
    </row>
    <row r="189" spans="2:29" ht="13.9">
      <c r="B189" s="334"/>
      <c r="C189" s="390"/>
      <c r="D189" s="390"/>
      <c r="E189" s="390"/>
      <c r="F189" s="390"/>
      <c r="G189" s="390"/>
    </row>
    <row r="190" spans="2:29" ht="13.9">
      <c r="B190" s="334"/>
      <c r="C190" s="390"/>
      <c r="D190" s="390"/>
      <c r="E190" s="390"/>
      <c r="F190" s="390"/>
      <c r="G190" s="390"/>
    </row>
    <row r="191" spans="2:29" ht="13.9">
      <c r="B191" s="334"/>
      <c r="C191" s="390"/>
      <c r="D191" s="397" t="s">
        <v>243</v>
      </c>
      <c r="E191" s="397" t="s">
        <v>231</v>
      </c>
      <c r="F191" s="390"/>
      <c r="G191" s="390"/>
    </row>
    <row r="192" spans="2:29" ht="13.9">
      <c r="B192" s="373" t="s">
        <v>737</v>
      </c>
      <c r="C192" s="390"/>
      <c r="D192" s="397" t="s">
        <v>127</v>
      </c>
      <c r="E192" s="397" t="s">
        <v>128</v>
      </c>
      <c r="F192" s="390"/>
      <c r="G192" s="390"/>
    </row>
    <row r="193" spans="2:7">
      <c r="B193" s="351" t="s">
        <v>733</v>
      </c>
      <c r="D193" s="351" t="e">
        <f t="shared" ref="D193:E195" si="28">D155</f>
        <v>#REF!</v>
      </c>
      <c r="E193" s="351" t="e">
        <f t="shared" si="28"/>
        <v>#REF!</v>
      </c>
    </row>
    <row r="194" spans="2:7">
      <c r="B194" s="351" t="s">
        <v>734</v>
      </c>
      <c r="D194" s="351" t="e">
        <f t="shared" si="28"/>
        <v>#REF!</v>
      </c>
      <c r="E194" s="351" t="e">
        <f t="shared" si="28"/>
        <v>#REF!</v>
      </c>
    </row>
    <row r="195" spans="2:7">
      <c r="B195" s="351" t="s">
        <v>735</v>
      </c>
      <c r="D195" s="351">
        <f t="shared" si="28"/>
        <v>50.9</v>
      </c>
      <c r="E195" s="351">
        <f t="shared" si="28"/>
        <v>11.8</v>
      </c>
    </row>
    <row r="196" spans="2:7">
      <c r="B196" s="351" t="s">
        <v>736</v>
      </c>
      <c r="D196" s="351" t="e">
        <f>#REF!-43.5</f>
        <v>#REF!</v>
      </c>
      <c r="E196" s="351" t="e">
        <f>#REF!</f>
        <v>#REF!</v>
      </c>
    </row>
    <row r="197" spans="2:7">
      <c r="B197" s="351" t="s">
        <v>747</v>
      </c>
      <c r="D197" s="351" t="e">
        <f>-'GLA Mayor (3)'!D160-D199</f>
        <v>#REF!</v>
      </c>
      <c r="E197" s="351" t="e">
        <f>-'GLA Mayor (3)'!E160</f>
        <v>#REF!</v>
      </c>
    </row>
    <row r="198" spans="2:7" ht="13.9">
      <c r="B198" s="373" t="s">
        <v>738</v>
      </c>
    </row>
    <row r="199" spans="2:7" ht="13.9">
      <c r="B199" s="351" t="s">
        <v>748</v>
      </c>
      <c r="D199" s="351">
        <v>43.3</v>
      </c>
      <c r="E199" s="351">
        <v>0</v>
      </c>
      <c r="F199" s="390"/>
      <c r="G199" s="390"/>
    </row>
    <row r="200" spans="2:7" ht="13.9">
      <c r="B200" s="373" t="s">
        <v>739</v>
      </c>
      <c r="F200" s="390"/>
      <c r="G200" s="390"/>
    </row>
    <row r="201" spans="2:7" ht="13.9">
      <c r="B201" s="351" t="s">
        <v>740</v>
      </c>
      <c r="D201" s="351">
        <f>'GLA Mayor (3)'!D119</f>
        <v>0</v>
      </c>
      <c r="E201" s="351">
        <f>'GLA Mayor (3)'!E119</f>
        <v>11.8</v>
      </c>
      <c r="F201" s="390"/>
      <c r="G201" s="390"/>
    </row>
    <row r="202" spans="2:7" ht="13.9">
      <c r="B202" s="351" t="s">
        <v>746</v>
      </c>
      <c r="D202" s="351" t="e">
        <f>-#REF!</f>
        <v>#REF!</v>
      </c>
      <c r="E202" s="351" t="e">
        <f>-#REF!</f>
        <v>#REF!</v>
      </c>
      <c r="F202" s="390"/>
      <c r="G202" s="390"/>
    </row>
    <row r="203" spans="2:7" ht="13.9">
      <c r="B203" s="373" t="s">
        <v>741</v>
      </c>
      <c r="F203" s="390"/>
      <c r="G203" s="390"/>
    </row>
    <row r="204" spans="2:7" ht="13.9">
      <c r="B204" s="351" t="s">
        <v>742</v>
      </c>
      <c r="D204" s="351">
        <f>C227</f>
        <v>319.5</v>
      </c>
      <c r="E204" s="351">
        <f>D227</f>
        <v>0</v>
      </c>
      <c r="F204" s="390"/>
      <c r="G204" s="390"/>
    </row>
    <row r="205" spans="2:7" ht="13.9">
      <c r="B205" s="351" t="s">
        <v>743</v>
      </c>
      <c r="D205" s="351">
        <f>C230</f>
        <v>7.5</v>
      </c>
      <c r="E205" s="351">
        <f>D230</f>
        <v>0</v>
      </c>
      <c r="F205" s="390"/>
      <c r="G205" s="390"/>
    </row>
    <row r="206" spans="2:7" ht="13.9">
      <c r="B206" s="351" t="s">
        <v>745</v>
      </c>
      <c r="D206" s="351">
        <f>C228</f>
        <v>17.3</v>
      </c>
      <c r="E206" s="351">
        <f>D228</f>
        <v>4.8</v>
      </c>
      <c r="F206" s="390"/>
      <c r="G206" s="390"/>
    </row>
    <row r="207" spans="2:7" ht="13.9">
      <c r="B207" s="351" t="s">
        <v>114</v>
      </c>
      <c r="D207" s="351">
        <f>SUM(C231:C234)</f>
        <v>295</v>
      </c>
      <c r="E207" s="351">
        <f>SUM(D231:D234)</f>
        <v>71.7</v>
      </c>
      <c r="F207" s="390"/>
      <c r="G207" s="390"/>
    </row>
    <row r="208" spans="2:7" ht="13.9">
      <c r="B208" s="373" t="s">
        <v>744</v>
      </c>
      <c r="F208" s="390"/>
      <c r="G208" s="390"/>
    </row>
    <row r="209" spans="2:29" ht="13.9">
      <c r="B209" s="351" t="s">
        <v>749</v>
      </c>
      <c r="D209" s="351" t="e">
        <f>#REF!</f>
        <v>#REF!</v>
      </c>
      <c r="E209" s="351" t="e">
        <f>#REF!</f>
        <v>#REF!</v>
      </c>
      <c r="F209" s="390"/>
      <c r="G209" s="390"/>
    </row>
    <row r="210" spans="2:29" ht="13.9">
      <c r="B210" s="373" t="s">
        <v>676</v>
      </c>
      <c r="D210" s="373" t="e">
        <f>SUM(D193:D209)</f>
        <v>#REF!</v>
      </c>
      <c r="E210" s="373" t="e">
        <f>SUM(E193:E209)</f>
        <v>#REF!</v>
      </c>
      <c r="F210" s="373"/>
      <c r="G210" s="390"/>
    </row>
    <row r="211" spans="2:29">
      <c r="F211" s="391"/>
      <c r="G211" s="391"/>
    </row>
    <row r="212" spans="2:29" ht="14.25" thickBot="1">
      <c r="B212" s="298" t="s">
        <v>332</v>
      </c>
      <c r="C212" s="391"/>
      <c r="D212" s="391"/>
      <c r="E212" s="391"/>
      <c r="F212" s="391"/>
      <c r="G212" s="391"/>
    </row>
    <row r="213" spans="2:29" ht="27.75">
      <c r="B213" s="469" t="s">
        <v>333</v>
      </c>
      <c r="C213" s="416" t="s">
        <v>139</v>
      </c>
      <c r="D213" s="420" t="s">
        <v>231</v>
      </c>
      <c r="E213" s="374" t="s">
        <v>140</v>
      </c>
      <c r="F213" s="416" t="s">
        <v>140</v>
      </c>
      <c r="G213" s="416" t="s">
        <v>140</v>
      </c>
      <c r="AC213" s="351" t="s">
        <v>140</v>
      </c>
    </row>
    <row r="214" spans="2:29" ht="13.9">
      <c r="B214" s="470"/>
      <c r="C214" s="296" t="s">
        <v>127</v>
      </c>
      <c r="D214" s="291" t="s">
        <v>128</v>
      </c>
      <c r="E214" s="375" t="s">
        <v>129</v>
      </c>
      <c r="F214" s="296" t="s">
        <v>130</v>
      </c>
      <c r="G214" s="296" t="s">
        <v>635</v>
      </c>
      <c r="AC214" s="351" t="s">
        <v>635</v>
      </c>
    </row>
    <row r="215" spans="2:29" ht="14.25" thickBot="1">
      <c r="B215" s="471"/>
      <c r="C215" s="303" t="s">
        <v>40</v>
      </c>
      <c r="D215" s="304" t="s">
        <v>40</v>
      </c>
      <c r="E215" s="349" t="s">
        <v>40</v>
      </c>
      <c r="F215" s="303" t="s">
        <v>40</v>
      </c>
      <c r="G215" s="303" t="s">
        <v>40</v>
      </c>
      <c r="AC215" s="351" t="s">
        <v>40</v>
      </c>
    </row>
    <row r="216" spans="2:29">
      <c r="B216" s="343" t="s">
        <v>141</v>
      </c>
      <c r="C216" s="306">
        <v>942.09944085999996</v>
      </c>
      <c r="D216" s="293">
        <v>157.30000000000001</v>
      </c>
      <c r="E216" s="306">
        <v>220.19</v>
      </c>
      <c r="F216" s="306">
        <v>86</v>
      </c>
      <c r="G216" s="306">
        <v>33.17</v>
      </c>
      <c r="H216" s="351">
        <f>SUM(C216:G219)+SUM(C221:G223)+SUM(C225:G225)</f>
        <v>6902.8418885266665</v>
      </c>
      <c r="AC216" s="351">
        <v>33.17</v>
      </c>
    </row>
    <row r="217" spans="2:29">
      <c r="B217" s="343" t="s">
        <v>144</v>
      </c>
      <c r="C217" s="306">
        <v>58.51</v>
      </c>
      <c r="D217" s="293">
        <v>685.84</v>
      </c>
      <c r="E217" s="306">
        <v>709.61</v>
      </c>
      <c r="F217" s="306">
        <v>1127.19</v>
      </c>
      <c r="G217" s="306">
        <v>518.29</v>
      </c>
      <c r="I217" s="427" t="s">
        <v>688</v>
      </c>
      <c r="K217" s="427">
        <f t="shared" ref="K217:K236" si="29">D216-C216</f>
        <v>-784.79944086</v>
      </c>
      <c r="AC217" s="351">
        <v>518.29</v>
      </c>
    </row>
    <row r="218" spans="2:29">
      <c r="B218" s="343" t="s">
        <v>155</v>
      </c>
      <c r="C218" s="306">
        <v>263.2</v>
      </c>
      <c r="D218" s="293">
        <v>372</v>
      </c>
      <c r="E218" s="306">
        <v>421</v>
      </c>
      <c r="F218" s="306">
        <v>400</v>
      </c>
      <c r="G218" s="306">
        <v>400</v>
      </c>
      <c r="H218" s="306"/>
      <c r="K218" s="427">
        <f t="shared" si="29"/>
        <v>627.33000000000004</v>
      </c>
      <c r="AC218" s="351">
        <v>400</v>
      </c>
    </row>
    <row r="219" spans="2:29">
      <c r="B219" s="343" t="s">
        <v>142</v>
      </c>
      <c r="C219" s="306">
        <v>4.07</v>
      </c>
      <c r="D219" s="293">
        <v>15.75</v>
      </c>
      <c r="E219" s="306">
        <v>4.0920000000000005</v>
      </c>
      <c r="F219" s="306">
        <v>1.5889280000000003</v>
      </c>
      <c r="G219" s="306">
        <v>5.95</v>
      </c>
      <c r="H219" s="306"/>
      <c r="K219" s="427">
        <f t="shared" si="29"/>
        <v>108.80000000000001</v>
      </c>
      <c r="AC219" s="351">
        <v>5.95</v>
      </c>
    </row>
    <row r="220" spans="2:29">
      <c r="B220" s="343" t="s">
        <v>15</v>
      </c>
      <c r="C220" s="306">
        <v>13.58</v>
      </c>
      <c r="D220" s="293">
        <v>9.4</v>
      </c>
      <c r="E220" s="306">
        <v>0</v>
      </c>
      <c r="F220" s="306">
        <v>0</v>
      </c>
      <c r="G220" s="306">
        <v>0</v>
      </c>
      <c r="H220" s="306"/>
      <c r="K220" s="427">
        <f t="shared" si="29"/>
        <v>11.68</v>
      </c>
      <c r="AC220" s="351">
        <v>0</v>
      </c>
    </row>
    <row r="221" spans="2:29">
      <c r="B221" s="343" t="s">
        <v>148</v>
      </c>
      <c r="C221" s="306">
        <v>23.926007999999999</v>
      </c>
      <c r="D221" s="293">
        <v>70.81145166666667</v>
      </c>
      <c r="E221" s="306">
        <v>39.816000000000003</v>
      </c>
      <c r="F221" s="306">
        <v>0</v>
      </c>
      <c r="G221" s="306">
        <v>3.84</v>
      </c>
      <c r="H221" s="306"/>
      <c r="K221" s="427">
        <f t="shared" si="29"/>
        <v>-4.18</v>
      </c>
      <c r="AC221" s="351">
        <v>3.84</v>
      </c>
    </row>
    <row r="222" spans="2:29">
      <c r="B222" s="343" t="s">
        <v>162</v>
      </c>
      <c r="C222" s="306">
        <v>12.64</v>
      </c>
      <c r="D222" s="293">
        <v>18.18</v>
      </c>
      <c r="E222" s="306">
        <v>0</v>
      </c>
      <c r="F222" s="306">
        <v>0</v>
      </c>
      <c r="G222" s="306">
        <v>0</v>
      </c>
      <c r="H222" s="306"/>
      <c r="K222" s="427">
        <f t="shared" si="29"/>
        <v>46.885443666666674</v>
      </c>
      <c r="AC222" s="351">
        <v>0</v>
      </c>
    </row>
    <row r="223" spans="2:29">
      <c r="B223" s="343" t="s">
        <v>149</v>
      </c>
      <c r="C223" s="306">
        <v>29.4847</v>
      </c>
      <c r="D223" s="293">
        <v>44.66</v>
      </c>
      <c r="E223" s="306">
        <v>91.1</v>
      </c>
      <c r="F223" s="306">
        <v>37.78436</v>
      </c>
      <c r="G223" s="306">
        <v>67.23</v>
      </c>
      <c r="H223" s="306"/>
      <c r="K223" s="427">
        <f t="shared" si="29"/>
        <v>5.5399999999999991</v>
      </c>
      <c r="AC223" s="351">
        <v>67.23</v>
      </c>
    </row>
    <row r="224" spans="2:29">
      <c r="B224" s="343" t="s">
        <v>161</v>
      </c>
      <c r="C224" s="306">
        <v>10.656349000000001</v>
      </c>
      <c r="D224" s="293">
        <v>1.5073249999999998</v>
      </c>
      <c r="E224" s="306">
        <v>0</v>
      </c>
      <c r="F224" s="306">
        <v>0</v>
      </c>
      <c r="G224" s="306">
        <v>0</v>
      </c>
      <c r="H224" s="306"/>
      <c r="K224" s="427">
        <f t="shared" si="29"/>
        <v>15.175299999999996</v>
      </c>
      <c r="AC224" s="351">
        <v>0</v>
      </c>
    </row>
    <row r="225" spans="2:29">
      <c r="B225" s="343" t="s">
        <v>334</v>
      </c>
      <c r="C225" s="306">
        <v>37.518999999999998</v>
      </c>
      <c r="D225" s="293">
        <v>0</v>
      </c>
      <c r="E225" s="306">
        <v>0</v>
      </c>
      <c r="F225" s="306">
        <v>0</v>
      </c>
      <c r="G225" s="306">
        <v>0</v>
      </c>
      <c r="H225" s="306"/>
      <c r="K225" s="427">
        <f t="shared" si="29"/>
        <v>-9.1490240000000007</v>
      </c>
      <c r="AC225" s="351">
        <v>0</v>
      </c>
    </row>
    <row r="226" spans="2:29">
      <c r="B226" s="343" t="s">
        <v>173</v>
      </c>
      <c r="C226" s="306">
        <v>10</v>
      </c>
      <c r="D226" s="293">
        <v>18.003</v>
      </c>
      <c r="E226" s="306">
        <v>20.92</v>
      </c>
      <c r="F226" s="306">
        <v>4.87</v>
      </c>
      <c r="G226" s="306">
        <v>0</v>
      </c>
      <c r="H226" s="306"/>
      <c r="K226" s="427">
        <f t="shared" si="29"/>
        <v>-37.518999999999998</v>
      </c>
      <c r="AC226" s="351">
        <v>0</v>
      </c>
    </row>
    <row r="227" spans="2:29">
      <c r="B227" s="343" t="s">
        <v>116</v>
      </c>
      <c r="C227" s="306">
        <v>319.5</v>
      </c>
      <c r="D227" s="293">
        <v>0</v>
      </c>
      <c r="E227" s="306">
        <v>0</v>
      </c>
      <c r="F227" s="306">
        <v>0</v>
      </c>
      <c r="G227" s="306">
        <v>0</v>
      </c>
      <c r="H227" s="306">
        <f>SUM(C227:G227)</f>
        <v>319.5</v>
      </c>
      <c r="K227" s="427">
        <f t="shared" si="29"/>
        <v>8.0030000000000001</v>
      </c>
      <c r="AC227" s="351">
        <v>0</v>
      </c>
    </row>
    <row r="228" spans="2:29">
      <c r="B228" s="343" t="s">
        <v>222</v>
      </c>
      <c r="C228" s="306">
        <v>17.3</v>
      </c>
      <c r="D228" s="293">
        <v>4.8</v>
      </c>
      <c r="E228" s="306">
        <v>4.8</v>
      </c>
      <c r="F228" s="306">
        <v>2.08</v>
      </c>
      <c r="G228" s="306">
        <v>2.08</v>
      </c>
      <c r="H228" s="306"/>
      <c r="I228" s="427" t="s">
        <v>689</v>
      </c>
      <c r="K228" s="427">
        <f t="shared" si="29"/>
        <v>-319.5</v>
      </c>
      <c r="AC228" s="351">
        <v>2.08</v>
      </c>
    </row>
    <row r="229" spans="2:29">
      <c r="B229" s="343" t="s">
        <v>335</v>
      </c>
      <c r="C229" s="306">
        <v>3.5270000000000001</v>
      </c>
      <c r="D229" s="293">
        <v>19.25</v>
      </c>
      <c r="E229" s="306">
        <v>22.0838505</v>
      </c>
      <c r="F229" s="306">
        <v>17.54080694</v>
      </c>
      <c r="G229" s="306">
        <v>28.497777750000001</v>
      </c>
      <c r="H229" s="306"/>
      <c r="K229" s="427">
        <f t="shared" si="29"/>
        <v>-12.5</v>
      </c>
      <c r="AC229" s="351">
        <v>28.497777750000001</v>
      </c>
    </row>
    <row r="230" spans="2:29">
      <c r="B230" s="343" t="s">
        <v>115</v>
      </c>
      <c r="C230" s="306">
        <v>7.5</v>
      </c>
      <c r="D230" s="293">
        <v>0</v>
      </c>
      <c r="E230" s="306">
        <v>0</v>
      </c>
      <c r="F230" s="306">
        <v>0</v>
      </c>
      <c r="G230" s="306">
        <v>0</v>
      </c>
      <c r="H230" s="306">
        <f>SUM(C230:G234)</f>
        <v>495.99999999999994</v>
      </c>
      <c r="K230" s="427">
        <f t="shared" si="29"/>
        <v>15.722999999999999</v>
      </c>
      <c r="AC230" s="351">
        <v>0</v>
      </c>
    </row>
    <row r="231" spans="2:29">
      <c r="B231" s="343" t="s">
        <v>226</v>
      </c>
      <c r="C231" s="306">
        <v>108.7</v>
      </c>
      <c r="D231" s="293">
        <v>49</v>
      </c>
      <c r="E231" s="306">
        <v>0.1</v>
      </c>
      <c r="F231" s="306">
        <v>5</v>
      </c>
      <c r="G231" s="306">
        <v>32.9</v>
      </c>
      <c r="H231" s="306"/>
      <c r="I231" s="427" t="s">
        <v>690</v>
      </c>
      <c r="K231" s="427">
        <f t="shared" si="29"/>
        <v>-7.5</v>
      </c>
      <c r="AC231" s="351">
        <v>32.9</v>
      </c>
    </row>
    <row r="232" spans="2:29">
      <c r="B232" s="343" t="s">
        <v>336</v>
      </c>
      <c r="C232" s="306">
        <v>3.1</v>
      </c>
      <c r="D232" s="293">
        <v>23.5</v>
      </c>
      <c r="E232" s="306">
        <v>7.9</v>
      </c>
      <c r="F232" s="306">
        <v>11.1</v>
      </c>
      <c r="G232" s="306">
        <v>22</v>
      </c>
      <c r="H232" s="376" t="s">
        <v>718</v>
      </c>
      <c r="K232" s="427">
        <f t="shared" si="29"/>
        <v>-59.7</v>
      </c>
      <c r="AC232" s="351">
        <v>22</v>
      </c>
    </row>
    <row r="233" spans="2:29">
      <c r="B233" s="343" t="s">
        <v>223</v>
      </c>
      <c r="C233" s="306">
        <v>98.2</v>
      </c>
      <c r="D233" s="293">
        <v>-0.8</v>
      </c>
      <c r="E233" s="306">
        <v>30</v>
      </c>
      <c r="F233" s="306">
        <v>8</v>
      </c>
      <c r="G233" s="306">
        <v>4.8</v>
      </c>
      <c r="H233" s="376" t="s">
        <v>718</v>
      </c>
      <c r="I233" s="429"/>
      <c r="J233" s="392"/>
      <c r="K233" s="427">
        <f t="shared" si="29"/>
        <v>20.399999999999999</v>
      </c>
      <c r="AC233" s="351">
        <v>4.8</v>
      </c>
    </row>
    <row r="234" spans="2:29">
      <c r="B234" s="343" t="s">
        <v>224</v>
      </c>
      <c r="C234" s="306">
        <v>85</v>
      </c>
      <c r="D234" s="293">
        <v>0</v>
      </c>
      <c r="E234" s="306">
        <v>0</v>
      </c>
      <c r="F234" s="306">
        <v>0</v>
      </c>
      <c r="G234" s="306">
        <v>0</v>
      </c>
      <c r="H234" s="377"/>
      <c r="I234" s="429"/>
      <c r="J234" s="392"/>
      <c r="K234" s="427">
        <f t="shared" si="29"/>
        <v>-99</v>
      </c>
      <c r="AC234" s="351">
        <v>0</v>
      </c>
    </row>
    <row r="235" spans="2:29" ht="13.9" thickBot="1">
      <c r="B235" s="343" t="s">
        <v>146</v>
      </c>
      <c r="C235" s="306">
        <f>61.63493516+9</f>
        <v>70.634935159999998</v>
      </c>
      <c r="D235" s="293">
        <v>36.573577999999998</v>
      </c>
      <c r="E235" s="306">
        <v>18.352</v>
      </c>
      <c r="F235" s="306">
        <v>5.08</v>
      </c>
      <c r="G235" s="306">
        <v>3.31</v>
      </c>
      <c r="H235" s="306"/>
      <c r="K235" s="427">
        <f t="shared" si="29"/>
        <v>-85</v>
      </c>
      <c r="AC235" s="351">
        <v>3.31</v>
      </c>
    </row>
    <row r="236" spans="2:29" ht="14.25" thickBot="1">
      <c r="B236" s="337" t="s">
        <v>337</v>
      </c>
      <c r="C236" s="378">
        <f>SUM(C216:C235)</f>
        <v>2119.1474330199999</v>
      </c>
      <c r="D236" s="336">
        <f>SUM(D216:D235)</f>
        <v>1525.775354666667</v>
      </c>
      <c r="E236" s="378">
        <f>SUM(E216:E235)</f>
        <v>1589.9638505</v>
      </c>
      <c r="F236" s="379">
        <f>SUM(F216:F235)</f>
        <v>1706.2340949399997</v>
      </c>
      <c r="G236" s="379">
        <f>SUM(G216:G235)</f>
        <v>1122.06777775</v>
      </c>
      <c r="H236" s="351">
        <f>SUM(C236:G236)-SUM(H216:H230)</f>
        <v>344.84662235000087</v>
      </c>
      <c r="K236" s="427">
        <f t="shared" si="29"/>
        <v>-34.06135716</v>
      </c>
      <c r="AC236" s="351">
        <v>1122.06777775</v>
      </c>
    </row>
    <row r="237" spans="2:29">
      <c r="B237" s="343" t="s">
        <v>338</v>
      </c>
      <c r="C237" s="306">
        <f>431.827-48.5</f>
        <v>383.327</v>
      </c>
      <c r="D237" s="293">
        <v>41.9500000000005</v>
      </c>
      <c r="E237" s="306">
        <v>59.983850499999789</v>
      </c>
      <c r="F237" s="306">
        <v>36.639734939999698</v>
      </c>
      <c r="G237" s="306">
        <v>55.297777750000023</v>
      </c>
      <c r="I237" s="427" t="s">
        <v>691</v>
      </c>
      <c r="AC237" s="351">
        <v>55.297777750000023</v>
      </c>
    </row>
    <row r="238" spans="2:29">
      <c r="B238" s="343" t="s">
        <v>339</v>
      </c>
      <c r="C238" s="306">
        <v>1519.45340786</v>
      </c>
      <c r="D238" s="293">
        <v>1419.7663546666665</v>
      </c>
      <c r="E238" s="306">
        <v>1527.2880000000002</v>
      </c>
      <c r="F238" s="306">
        <v>1662.63436</v>
      </c>
      <c r="G238" s="306">
        <v>1030.56</v>
      </c>
      <c r="AC238" s="351">
        <v>1030.56</v>
      </c>
    </row>
    <row r="239" spans="2:29">
      <c r="B239" s="343" t="s">
        <v>340</v>
      </c>
      <c r="C239" s="306">
        <v>9.4220251600000005</v>
      </c>
      <c r="D239" s="293">
        <v>0</v>
      </c>
      <c r="E239" s="306">
        <v>0</v>
      </c>
      <c r="F239" s="306">
        <v>0</v>
      </c>
      <c r="G239" s="306">
        <v>0</v>
      </c>
      <c r="AC239" s="351">
        <v>0</v>
      </c>
    </row>
    <row r="240" spans="2:29" ht="13.9" thickBot="1">
      <c r="B240" s="343" t="s">
        <v>341</v>
      </c>
      <c r="C240" s="306">
        <f>149.445+48.5+9</f>
        <v>206.94499999999999</v>
      </c>
      <c r="D240" s="293">
        <v>64.058999999999997</v>
      </c>
      <c r="E240" s="306">
        <v>2.6920000000000002</v>
      </c>
      <c r="F240" s="306">
        <v>6.96</v>
      </c>
      <c r="G240" s="306">
        <v>36.21</v>
      </c>
      <c r="H240" s="351" t="s">
        <v>709</v>
      </c>
      <c r="AC240" s="351">
        <v>36.21</v>
      </c>
    </row>
    <row r="241" spans="2:29" ht="14.25" thickBot="1">
      <c r="B241" s="337" t="s">
        <v>342</v>
      </c>
      <c r="C241" s="379">
        <f>SUM(C237:C240)</f>
        <v>2119.1474330199999</v>
      </c>
      <c r="D241" s="336">
        <f t="shared" ref="D241:G241" si="30">SUM(D237:D240)</f>
        <v>1525.775354666667</v>
      </c>
      <c r="E241" s="378">
        <f t="shared" si="30"/>
        <v>1589.9638505</v>
      </c>
      <c r="F241" s="379">
        <f t="shared" si="30"/>
        <v>1706.2340949399997</v>
      </c>
      <c r="G241" s="379">
        <f t="shared" si="30"/>
        <v>1122.06777775</v>
      </c>
      <c r="AC241" s="351">
        <v>1122.06777775</v>
      </c>
    </row>
    <row r="242" spans="2:29" ht="13.9">
      <c r="B242" s="334" t="s">
        <v>343</v>
      </c>
      <c r="C242" s="390">
        <f>C236-C241</f>
        <v>0</v>
      </c>
      <c r="D242" s="390">
        <f t="shared" ref="D242:G242" si="31">D236-D241</f>
        <v>0</v>
      </c>
      <c r="E242" s="390">
        <f t="shared" si="31"/>
        <v>0</v>
      </c>
      <c r="F242" s="390">
        <f t="shared" si="31"/>
        <v>0</v>
      </c>
      <c r="G242" s="390">
        <f t="shared" si="31"/>
        <v>0</v>
      </c>
      <c r="AC242" s="351">
        <v>0</v>
      </c>
    </row>
    <row r="245" spans="2:29" ht="14.25" thickBot="1">
      <c r="B245" s="298" t="s">
        <v>344</v>
      </c>
      <c r="C245" s="398"/>
      <c r="D245" s="398"/>
      <c r="E245" s="398"/>
      <c r="F245" s="398"/>
    </row>
    <row r="246" spans="2:29" ht="13.9">
      <c r="B246" s="472" t="s">
        <v>345</v>
      </c>
      <c r="C246" s="340" t="s">
        <v>128</v>
      </c>
      <c r="D246" s="380" t="s">
        <v>129</v>
      </c>
      <c r="E246" s="380" t="s">
        <v>130</v>
      </c>
    </row>
    <row r="247" spans="2:29" ht="14.25" thickBot="1">
      <c r="B247" s="473"/>
      <c r="C247" s="342" t="s">
        <v>40</v>
      </c>
      <c r="D247" s="381" t="s">
        <v>40</v>
      </c>
      <c r="E247" s="381" t="s">
        <v>40</v>
      </c>
    </row>
    <row r="248" spans="2:29">
      <c r="B248" s="343" t="s">
        <v>346</v>
      </c>
      <c r="C248" s="293">
        <v>274</v>
      </c>
      <c r="D248" s="306">
        <v>254</v>
      </c>
      <c r="E248" s="306">
        <v>329</v>
      </c>
    </row>
    <row r="249" spans="2:29" ht="13.9" thickBot="1">
      <c r="B249" s="382" t="s">
        <v>347</v>
      </c>
      <c r="C249" s="383">
        <f>C116+C117+C118</f>
        <v>151.69999999999999</v>
      </c>
      <c r="D249" s="384">
        <f>D116+D117+D118</f>
        <v>153.27942300000001</v>
      </c>
      <c r="E249" s="384">
        <f>E116+E117+E118</f>
        <v>151.80000000000001</v>
      </c>
    </row>
    <row r="250" spans="2:29" ht="14.25" thickBot="1">
      <c r="B250" s="422" t="s">
        <v>0</v>
      </c>
      <c r="C250" s="342">
        <f>+C249+C248</f>
        <v>425.7</v>
      </c>
      <c r="D250" s="341">
        <f>+D249+D248</f>
        <v>407.27942300000001</v>
      </c>
      <c r="E250" s="341">
        <f>+E249+E248</f>
        <v>480.8</v>
      </c>
    </row>
    <row r="253" spans="2:29" ht="14.25" thickBot="1">
      <c r="B253" s="298" t="s">
        <v>348</v>
      </c>
      <c r="C253" s="391"/>
      <c r="D253" s="391"/>
      <c r="E253" s="391"/>
      <c r="F253" s="391"/>
      <c r="G253" s="391"/>
    </row>
    <row r="254" spans="2:29" ht="27.75">
      <c r="B254" s="472" t="s">
        <v>349</v>
      </c>
      <c r="C254" s="380" t="s">
        <v>350</v>
      </c>
      <c r="D254" s="380" t="s">
        <v>351</v>
      </c>
      <c r="E254" s="340" t="s">
        <v>236</v>
      </c>
      <c r="F254" s="380" t="s">
        <v>236</v>
      </c>
      <c r="G254" s="380" t="s">
        <v>236</v>
      </c>
      <c r="AC254" s="351" t="s">
        <v>236</v>
      </c>
    </row>
    <row r="255" spans="2:29" ht="13.9">
      <c r="B255" s="470"/>
      <c r="C255" s="386" t="s">
        <v>127</v>
      </c>
      <c r="D255" s="386" t="s">
        <v>127</v>
      </c>
      <c r="E255" s="419" t="s">
        <v>128</v>
      </c>
      <c r="F255" s="386" t="s">
        <v>129</v>
      </c>
      <c r="G255" s="386" t="s">
        <v>130</v>
      </c>
      <c r="AC255" s="351" t="s">
        <v>130</v>
      </c>
    </row>
    <row r="256" spans="2:29" ht="14.25" thickBot="1">
      <c r="B256" s="473"/>
      <c r="C256" s="381" t="s">
        <v>40</v>
      </c>
      <c r="D256" s="381" t="s">
        <v>40</v>
      </c>
      <c r="E256" s="342" t="s">
        <v>40</v>
      </c>
      <c r="F256" s="381" t="s">
        <v>40</v>
      </c>
      <c r="G256" s="381" t="s">
        <v>40</v>
      </c>
      <c r="AC256" s="351" t="s">
        <v>40</v>
      </c>
    </row>
    <row r="257" spans="2:29">
      <c r="B257" s="343" t="s">
        <v>352</v>
      </c>
      <c r="C257" s="306">
        <v>7200</v>
      </c>
      <c r="D257" s="306">
        <v>7200</v>
      </c>
      <c r="E257" s="293">
        <v>7200</v>
      </c>
      <c r="F257" s="306">
        <v>7200</v>
      </c>
      <c r="G257" s="306">
        <v>7200</v>
      </c>
      <c r="AC257" s="351">
        <v>7200</v>
      </c>
    </row>
    <row r="258" spans="2:29" ht="13.9" thickBot="1">
      <c r="B258" s="382" t="s">
        <v>353</v>
      </c>
      <c r="C258" s="384">
        <v>0</v>
      </c>
      <c r="D258" s="384">
        <v>0</v>
      </c>
      <c r="E258" s="383">
        <v>0</v>
      </c>
      <c r="F258" s="384">
        <v>0</v>
      </c>
      <c r="G258" s="384">
        <v>0</v>
      </c>
      <c r="I258" s="431"/>
      <c r="AC258" s="351">
        <v>0</v>
      </c>
    </row>
    <row r="259" spans="2:29" ht="14.25" thickBot="1">
      <c r="B259" s="422" t="s">
        <v>0</v>
      </c>
      <c r="C259" s="381">
        <f>SUM(C257:C258)</f>
        <v>7200</v>
      </c>
      <c r="D259" s="381">
        <f t="shared" ref="D259:G259" si="32">SUM(D257:D258)</f>
        <v>7200</v>
      </c>
      <c r="E259" s="342">
        <f t="shared" si="32"/>
        <v>7200</v>
      </c>
      <c r="F259" s="381">
        <f t="shared" si="32"/>
        <v>7200</v>
      </c>
      <c r="G259" s="381">
        <f t="shared" si="32"/>
        <v>7200</v>
      </c>
      <c r="I259" s="431"/>
      <c r="AC259" s="351">
        <v>7200</v>
      </c>
    </row>
    <row r="262" spans="2:29" ht="14.25" thickBot="1">
      <c r="B262" s="298" t="s">
        <v>354</v>
      </c>
      <c r="C262" s="391"/>
      <c r="D262" s="391"/>
      <c r="E262" s="391"/>
      <c r="F262" s="391"/>
      <c r="G262" s="391"/>
    </row>
    <row r="263" spans="2:29" ht="27.75">
      <c r="B263" s="472" t="s">
        <v>355</v>
      </c>
      <c r="C263" s="380" t="s">
        <v>350</v>
      </c>
      <c r="D263" s="380" t="s">
        <v>351</v>
      </c>
      <c r="E263" s="340" t="s">
        <v>236</v>
      </c>
      <c r="F263" s="380" t="s">
        <v>236</v>
      </c>
      <c r="G263" s="380" t="s">
        <v>236</v>
      </c>
      <c r="AC263" s="351" t="s">
        <v>236</v>
      </c>
    </row>
    <row r="264" spans="2:29" ht="13.9">
      <c r="B264" s="470"/>
      <c r="C264" s="386" t="s">
        <v>127</v>
      </c>
      <c r="D264" s="386" t="s">
        <v>127</v>
      </c>
      <c r="E264" s="419" t="s">
        <v>128</v>
      </c>
      <c r="F264" s="386" t="s">
        <v>129</v>
      </c>
      <c r="G264" s="386" t="s">
        <v>130</v>
      </c>
      <c r="AC264" s="351" t="s">
        <v>130</v>
      </c>
    </row>
    <row r="265" spans="2:29" ht="14.25" thickBot="1">
      <c r="B265" s="473"/>
      <c r="C265" s="381" t="s">
        <v>40</v>
      </c>
      <c r="D265" s="381" t="s">
        <v>40</v>
      </c>
      <c r="E265" s="342" t="s">
        <v>40</v>
      </c>
      <c r="F265" s="381" t="s">
        <v>40</v>
      </c>
      <c r="G265" s="381" t="s">
        <v>40</v>
      </c>
      <c r="AC265" s="351" t="s">
        <v>40</v>
      </c>
    </row>
    <row r="266" spans="2:29">
      <c r="B266" s="343" t="s">
        <v>352</v>
      </c>
      <c r="C266" s="306">
        <v>6800</v>
      </c>
      <c r="D266" s="306">
        <v>6800</v>
      </c>
      <c r="E266" s="293">
        <v>6800</v>
      </c>
      <c r="F266" s="306">
        <v>6800</v>
      </c>
      <c r="G266" s="306">
        <v>6800</v>
      </c>
      <c r="AC266" s="351">
        <v>6800</v>
      </c>
    </row>
    <row r="267" spans="2:29" ht="13.9" thickBot="1">
      <c r="B267" s="382" t="s">
        <v>353</v>
      </c>
      <c r="C267" s="384">
        <v>0</v>
      </c>
      <c r="D267" s="384">
        <v>0</v>
      </c>
      <c r="E267" s="383">
        <v>0</v>
      </c>
      <c r="F267" s="384">
        <v>0</v>
      </c>
      <c r="G267" s="384">
        <v>0</v>
      </c>
      <c r="I267" s="431"/>
      <c r="AC267" s="351">
        <v>0</v>
      </c>
    </row>
    <row r="268" spans="2:29" ht="14.25" thickBot="1">
      <c r="B268" s="422" t="s">
        <v>0</v>
      </c>
      <c r="C268" s="381">
        <f>SUM(C266:C267)</f>
        <v>6800</v>
      </c>
      <c r="D268" s="381">
        <f t="shared" ref="D268:G268" si="33">SUM(D266:D267)</f>
        <v>6800</v>
      </c>
      <c r="E268" s="342">
        <f t="shared" si="33"/>
        <v>6800</v>
      </c>
      <c r="F268" s="381">
        <f t="shared" si="33"/>
        <v>6800</v>
      </c>
      <c r="G268" s="381">
        <f t="shared" si="33"/>
        <v>6800</v>
      </c>
      <c r="I268" s="431"/>
      <c r="AC268" s="351">
        <v>6800</v>
      </c>
    </row>
    <row r="271" spans="2:29" ht="13.9" thickBot="1"/>
    <row r="272" spans="2:29" ht="41.65">
      <c r="B272" s="474" t="s">
        <v>646</v>
      </c>
      <c r="C272" s="399" t="s">
        <v>356</v>
      </c>
      <c r="D272" s="477" t="s">
        <v>357</v>
      </c>
      <c r="E272" s="418" t="s">
        <v>358</v>
      </c>
      <c r="F272" s="401" t="s">
        <v>358</v>
      </c>
      <c r="G272" s="401" t="s">
        <v>358</v>
      </c>
      <c r="AC272" s="351" t="s">
        <v>358</v>
      </c>
    </row>
    <row r="273" spans="2:29" ht="13.9">
      <c r="B273" s="475"/>
      <c r="C273" s="402" t="s">
        <v>359</v>
      </c>
      <c r="D273" s="478"/>
      <c r="E273" s="419" t="s">
        <v>231</v>
      </c>
      <c r="F273" s="425" t="s">
        <v>140</v>
      </c>
      <c r="G273" s="425" t="s">
        <v>140</v>
      </c>
      <c r="AC273" s="351" t="s">
        <v>140</v>
      </c>
    </row>
    <row r="274" spans="2:29" ht="13.9">
      <c r="B274" s="475"/>
      <c r="C274" s="402" t="s">
        <v>128</v>
      </c>
      <c r="D274" s="402" t="s">
        <v>128</v>
      </c>
      <c r="E274" s="402" t="s">
        <v>128</v>
      </c>
      <c r="F274" s="404" t="s">
        <v>129</v>
      </c>
      <c r="G274" s="404" t="s">
        <v>130</v>
      </c>
      <c r="AC274" s="351" t="s">
        <v>130</v>
      </c>
    </row>
    <row r="275" spans="2:29" ht="14.25" thickBot="1">
      <c r="B275" s="476"/>
      <c r="C275" s="405" t="s">
        <v>40</v>
      </c>
      <c r="D275" s="406" t="s">
        <v>40</v>
      </c>
      <c r="E275" s="406" t="s">
        <v>40</v>
      </c>
      <c r="F275" s="407" t="s">
        <v>40</v>
      </c>
      <c r="G275" s="407" t="s">
        <v>40</v>
      </c>
      <c r="AC275" s="351" t="s">
        <v>40</v>
      </c>
    </row>
    <row r="276" spans="2:29" ht="13.9">
      <c r="B276" s="417" t="s">
        <v>360</v>
      </c>
      <c r="C276" s="408"/>
      <c r="D276" s="409"/>
      <c r="E276" s="409"/>
      <c r="F276" s="410"/>
      <c r="G276" s="410"/>
    </row>
    <row r="277" spans="2:29" ht="13.9">
      <c r="B277" s="292" t="s">
        <v>361</v>
      </c>
      <c r="C277" s="293">
        <v>33.94</v>
      </c>
      <c r="D277" s="293">
        <v>-6.085</v>
      </c>
      <c r="E277" s="291">
        <f>C277+D277</f>
        <v>27.854999999999997</v>
      </c>
      <c r="F277" s="290">
        <v>23.94</v>
      </c>
      <c r="G277" s="290">
        <v>19.84</v>
      </c>
      <c r="AC277" s="351">
        <v>19.768999999999998</v>
      </c>
    </row>
    <row r="278" spans="2:29" ht="13.9">
      <c r="B278" s="292" t="s">
        <v>648</v>
      </c>
      <c r="C278" s="293">
        <v>87.84</v>
      </c>
      <c r="D278" s="293">
        <v>-68.414000000000001</v>
      </c>
      <c r="E278" s="291">
        <f t="shared" ref="E278:E285" si="34">C278+D278</f>
        <v>19.426000000000002</v>
      </c>
      <c r="F278" s="290">
        <v>14.85</v>
      </c>
      <c r="G278" s="290">
        <v>14.590999999999999</v>
      </c>
      <c r="AC278" s="351">
        <v>14.591000000000005</v>
      </c>
    </row>
    <row r="279" spans="2:29" ht="13.9">
      <c r="B279" s="292" t="s">
        <v>988</v>
      </c>
      <c r="C279" s="293">
        <v>9.14</v>
      </c>
      <c r="D279" s="293">
        <v>-6.86</v>
      </c>
      <c r="E279" s="291">
        <f t="shared" si="34"/>
        <v>2.2800000000000002</v>
      </c>
      <c r="F279" s="290">
        <v>1.35</v>
      </c>
      <c r="G279" s="290">
        <v>1.4530000000000001</v>
      </c>
      <c r="AC279" s="351">
        <v>1.4530000000000003</v>
      </c>
    </row>
    <row r="280" spans="2:29" ht="13.9">
      <c r="B280" s="292" t="s">
        <v>989</v>
      </c>
      <c r="C280" s="293">
        <v>46.14</v>
      </c>
      <c r="D280" s="293">
        <v>-39.573</v>
      </c>
      <c r="E280" s="291">
        <f t="shared" si="34"/>
        <v>6.5670000000000002</v>
      </c>
      <c r="F280" s="290">
        <v>3.05</v>
      </c>
      <c r="G280" s="290">
        <v>3.0409999999999999</v>
      </c>
      <c r="AC280" s="351">
        <v>3.0409999999999968</v>
      </c>
    </row>
    <row r="281" spans="2:29" ht="13.9">
      <c r="B281" s="292" t="s">
        <v>990</v>
      </c>
      <c r="C281" s="293">
        <v>253.14</v>
      </c>
      <c r="D281" s="293">
        <v>-246.29949999999999</v>
      </c>
      <c r="E281" s="291">
        <f t="shared" si="34"/>
        <v>6.8404999999999916</v>
      </c>
      <c r="F281" s="290">
        <v>7.45</v>
      </c>
      <c r="G281" s="290">
        <v>7.5479249999999887</v>
      </c>
      <c r="AC281" s="351">
        <v>7.4479249999999979</v>
      </c>
    </row>
    <row r="282" spans="2:29" ht="13.9">
      <c r="B282" s="292" t="s">
        <v>652</v>
      </c>
      <c r="C282" s="293">
        <v>19.64</v>
      </c>
      <c r="D282" s="293">
        <v>-18.87</v>
      </c>
      <c r="E282" s="291">
        <f t="shared" si="34"/>
        <v>0.76999999999999957</v>
      </c>
      <c r="F282" s="290">
        <v>0.73099999999999998</v>
      </c>
      <c r="G282" s="290">
        <v>0.73499999999999999</v>
      </c>
      <c r="AC282" s="351">
        <v>0.73499999999999943</v>
      </c>
    </row>
    <row r="283" spans="2:29" ht="13.9">
      <c r="B283" s="292" t="s">
        <v>653</v>
      </c>
      <c r="C283" s="293">
        <v>23.45</v>
      </c>
      <c r="D283" s="293">
        <v>-22.2</v>
      </c>
      <c r="E283" s="291">
        <f t="shared" si="34"/>
        <v>1.25</v>
      </c>
      <c r="F283" s="290">
        <v>1.0669999999999999</v>
      </c>
      <c r="G283" s="290">
        <v>0.76700000000000002</v>
      </c>
      <c r="AC283" s="351">
        <v>0.76699999999999946</v>
      </c>
    </row>
    <row r="284" spans="2:29" ht="13.9">
      <c r="B284" s="292" t="s">
        <v>362</v>
      </c>
      <c r="C284" s="293">
        <v>20.25</v>
      </c>
      <c r="D284" s="293">
        <v>-18.850000000000001</v>
      </c>
      <c r="E284" s="291">
        <f t="shared" si="34"/>
        <v>1.3999999999999986</v>
      </c>
      <c r="F284" s="290">
        <v>1.093</v>
      </c>
      <c r="G284" s="290">
        <v>1.0960000000000001</v>
      </c>
      <c r="AC284" s="351">
        <v>1.0960000000000001</v>
      </c>
    </row>
    <row r="285" spans="2:29" ht="13.9">
      <c r="B285" s="292" t="s">
        <v>654</v>
      </c>
      <c r="C285" s="293">
        <v>32.344000000000001</v>
      </c>
      <c r="D285" s="293">
        <v>-29.3</v>
      </c>
      <c r="E285" s="291">
        <f t="shared" si="34"/>
        <v>3.0440000000000005</v>
      </c>
      <c r="F285" s="290">
        <v>3.0819999999999999</v>
      </c>
      <c r="G285" s="290">
        <v>2.7715748008262016</v>
      </c>
      <c r="AC285" s="351">
        <v>2.7715748008262011</v>
      </c>
    </row>
    <row r="286" spans="2:29" ht="13.9">
      <c r="B286" s="292" t="s">
        <v>655</v>
      </c>
      <c r="C286" s="293"/>
      <c r="D286" s="293"/>
      <c r="E286" s="291"/>
      <c r="F286" s="290"/>
      <c r="G286" s="290"/>
    </row>
    <row r="287" spans="2:29" ht="13.9">
      <c r="B287" s="417" t="s">
        <v>363</v>
      </c>
      <c r="C287" s="293"/>
      <c r="D287" s="293"/>
      <c r="E287" s="291"/>
      <c r="F287" s="290"/>
      <c r="G287" s="290"/>
    </row>
    <row r="288" spans="2:29" ht="13.9">
      <c r="B288" s="292" t="s">
        <v>364</v>
      </c>
      <c r="C288" s="293">
        <v>2.2959999999999998</v>
      </c>
      <c r="D288" s="293">
        <v>-0.1</v>
      </c>
      <c r="E288" s="291">
        <f t="shared" ref="E288:E295" si="35">C288+D288</f>
        <v>2.1959999999999997</v>
      </c>
      <c r="F288" s="290">
        <v>1.6639999999999999</v>
      </c>
      <c r="G288" s="290">
        <v>1.6679999999999999</v>
      </c>
      <c r="AC288" s="351">
        <v>1.6679999999999999</v>
      </c>
    </row>
    <row r="289" spans="2:29" ht="13.9">
      <c r="B289" s="292" t="s">
        <v>991</v>
      </c>
      <c r="C289" s="293">
        <v>2.88</v>
      </c>
      <c r="D289" s="293">
        <v>-0.24</v>
      </c>
      <c r="E289" s="291">
        <f t="shared" si="35"/>
        <v>2.6399999999999997</v>
      </c>
      <c r="F289" s="290">
        <v>2.6549999999999998</v>
      </c>
      <c r="G289" s="290">
        <v>2.673</v>
      </c>
      <c r="AC289" s="351">
        <v>2.673</v>
      </c>
    </row>
    <row r="290" spans="2:29" ht="13.9">
      <c r="B290" s="292" t="s">
        <v>992</v>
      </c>
      <c r="C290" s="293">
        <v>2.9455</v>
      </c>
      <c r="D290" s="293">
        <v>0</v>
      </c>
      <c r="E290" s="291">
        <f t="shared" si="35"/>
        <v>2.9455</v>
      </c>
      <c r="F290" s="290">
        <v>1.5575000000000001</v>
      </c>
      <c r="G290" s="290">
        <v>1.4650000000000001</v>
      </c>
      <c r="AC290" s="351">
        <v>1.4650000000000001</v>
      </c>
    </row>
    <row r="291" spans="2:29" ht="13.9">
      <c r="B291" s="292" t="s">
        <v>993</v>
      </c>
      <c r="C291" s="293">
        <v>5.4130000000000003</v>
      </c>
      <c r="D291" s="293">
        <v>-3.7109999999999999</v>
      </c>
      <c r="E291" s="291">
        <f t="shared" si="35"/>
        <v>1.7020000000000004</v>
      </c>
      <c r="F291" s="290">
        <v>1.615</v>
      </c>
      <c r="G291" s="290">
        <v>1.4</v>
      </c>
      <c r="AC291" s="351">
        <v>1.4259999999999997</v>
      </c>
    </row>
    <row r="292" spans="2:29" ht="13.9">
      <c r="B292" s="292" t="s">
        <v>994</v>
      </c>
      <c r="C292" s="293">
        <v>24.465</v>
      </c>
      <c r="D292" s="293">
        <v>-2.94</v>
      </c>
      <c r="E292" s="291">
        <f t="shared" si="35"/>
        <v>21.524999999999999</v>
      </c>
      <c r="F292" s="290">
        <v>18.978000000000012</v>
      </c>
      <c r="G292" s="290">
        <v>18.559639199173866</v>
      </c>
      <c r="AC292" s="351">
        <v>18.582000000000001</v>
      </c>
    </row>
    <row r="293" spans="2:29" ht="13.9">
      <c r="B293" s="292" t="s">
        <v>365</v>
      </c>
      <c r="C293" s="293">
        <v>14.835000000000001</v>
      </c>
      <c r="D293" s="293">
        <v>-9.6440000000000001</v>
      </c>
      <c r="E293" s="291">
        <f t="shared" si="35"/>
        <v>5.1910000000000007</v>
      </c>
      <c r="F293" s="290">
        <v>4.1189999999999998</v>
      </c>
      <c r="G293" s="290">
        <v>2.9340000000000002</v>
      </c>
      <c r="AC293" s="351">
        <v>2.9339999999999993</v>
      </c>
    </row>
    <row r="294" spans="2:29" ht="13.9">
      <c r="B294" s="292" t="s">
        <v>995</v>
      </c>
      <c r="C294" s="293">
        <v>16.99165</v>
      </c>
      <c r="D294" s="293">
        <v>-8.5729399999999991</v>
      </c>
      <c r="E294" s="291">
        <f t="shared" si="35"/>
        <v>8.4187100000000008</v>
      </c>
      <c r="F294" s="290">
        <v>5.3867800000000008</v>
      </c>
      <c r="G294" s="290">
        <v>5.3179999999999996</v>
      </c>
      <c r="AC294" s="351">
        <v>5.3179999999999996</v>
      </c>
    </row>
    <row r="295" spans="2:29" ht="13.9">
      <c r="B295" s="292" t="s">
        <v>661</v>
      </c>
      <c r="C295" s="293">
        <v>5.2999999999999999E-2</v>
      </c>
      <c r="D295" s="293">
        <v>0</v>
      </c>
      <c r="E295" s="291">
        <f t="shared" si="35"/>
        <v>5.2999999999999999E-2</v>
      </c>
      <c r="F295" s="290">
        <v>0</v>
      </c>
      <c r="G295" s="290">
        <v>0</v>
      </c>
      <c r="AC295" s="351">
        <v>0</v>
      </c>
    </row>
    <row r="296" spans="2:29" ht="13.9">
      <c r="B296" s="292"/>
      <c r="C296" s="293"/>
      <c r="D296" s="293"/>
      <c r="E296" s="291"/>
      <c r="F296" s="290"/>
      <c r="G296" s="290"/>
    </row>
    <row r="297" spans="2:29" ht="13.9">
      <c r="B297" s="417" t="s">
        <v>366</v>
      </c>
      <c r="C297" s="293"/>
      <c r="D297" s="293"/>
      <c r="E297" s="291"/>
      <c r="F297" s="290"/>
      <c r="G297" s="290"/>
    </row>
    <row r="298" spans="2:29" ht="13.9">
      <c r="B298" s="292" t="s">
        <v>367</v>
      </c>
      <c r="C298" s="293">
        <v>6.6358853577183199</v>
      </c>
      <c r="D298" s="293">
        <v>-3.4058217606100079</v>
      </c>
      <c r="E298" s="291">
        <f t="shared" ref="E298:E319" si="36">C298+D298</f>
        <v>3.230063597108312</v>
      </c>
      <c r="F298" s="290">
        <v>2.7216782393899921</v>
      </c>
      <c r="G298" s="290">
        <v>2.6</v>
      </c>
      <c r="AC298" s="351">
        <v>2.4689007962818117</v>
      </c>
    </row>
    <row r="299" spans="2:29" ht="13.9">
      <c r="B299" s="292" t="s">
        <v>368</v>
      </c>
      <c r="C299" s="293">
        <v>4.99</v>
      </c>
      <c r="D299" s="293">
        <v>-0.19613900000000001</v>
      </c>
      <c r="E299" s="291">
        <f t="shared" si="36"/>
        <v>4.7938610000000006</v>
      </c>
      <c r="F299" s="290">
        <v>3.992861</v>
      </c>
      <c r="G299" s="290">
        <v>3.992861</v>
      </c>
      <c r="AC299" s="351">
        <v>3.992861</v>
      </c>
    </row>
    <row r="300" spans="2:29" ht="13.9">
      <c r="B300" s="292" t="s">
        <v>369</v>
      </c>
      <c r="C300" s="293">
        <v>4.28</v>
      </c>
      <c r="D300" s="293">
        <v>-0.36799999999999999</v>
      </c>
      <c r="E300" s="291">
        <f t="shared" si="36"/>
        <v>3.9120000000000004</v>
      </c>
      <c r="F300" s="290">
        <v>3.92</v>
      </c>
      <c r="G300" s="290">
        <v>3.9</v>
      </c>
      <c r="AC300" s="351">
        <v>3.9280000000000004</v>
      </c>
    </row>
    <row r="301" spans="2:29" ht="13.9">
      <c r="B301" s="292" t="s">
        <v>370</v>
      </c>
      <c r="C301" s="293">
        <v>1.2090000000000001</v>
      </c>
      <c r="D301" s="293">
        <v>-0.59599999999999997</v>
      </c>
      <c r="E301" s="291">
        <f t="shared" si="36"/>
        <v>0.6130000000000001</v>
      </c>
      <c r="F301" s="290">
        <v>0.66300000000000003</v>
      </c>
      <c r="G301" s="290">
        <v>0.68</v>
      </c>
      <c r="AC301" s="351">
        <v>0.68</v>
      </c>
    </row>
    <row r="302" spans="2:29" ht="13.9">
      <c r="B302" s="292" t="s">
        <v>424</v>
      </c>
      <c r="C302" s="293">
        <v>13.627881120516555</v>
      </c>
      <c r="D302" s="293">
        <v>-1.8643454198789671</v>
      </c>
      <c r="E302" s="291">
        <f t="shared" si="36"/>
        <v>11.763535700637588</v>
      </c>
      <c r="F302" s="290">
        <v>12.186610700637573</v>
      </c>
      <c r="G302" s="290">
        <v>14.64</v>
      </c>
      <c r="AC302" s="351">
        <v>14.586610700637575</v>
      </c>
    </row>
    <row r="303" spans="2:29" ht="13.9">
      <c r="B303" s="292" t="s">
        <v>371</v>
      </c>
      <c r="C303" s="293">
        <v>12.098000000000001</v>
      </c>
      <c r="D303" s="293">
        <v>-2.81087229774554</v>
      </c>
      <c r="E303" s="291">
        <f t="shared" si="36"/>
        <v>9.2871277022544607</v>
      </c>
      <c r="F303" s="290">
        <v>9.3191277022544607</v>
      </c>
      <c r="G303" s="290">
        <v>9.34</v>
      </c>
      <c r="AC303" s="351">
        <v>9.3291277022544605</v>
      </c>
    </row>
    <row r="304" spans="2:29" ht="13.9">
      <c r="B304" s="292" t="s">
        <v>372</v>
      </c>
      <c r="C304" s="293">
        <v>5.8209999999999997</v>
      </c>
      <c r="D304" s="293">
        <v>-1.2709999999999999</v>
      </c>
      <c r="E304" s="291">
        <f t="shared" si="36"/>
        <v>4.55</v>
      </c>
      <c r="F304" s="290">
        <v>4.9569999999999999</v>
      </c>
      <c r="G304" s="290">
        <v>4.8019999999999996</v>
      </c>
      <c r="AC304" s="351">
        <v>4.8020000000000005</v>
      </c>
    </row>
    <row r="305" spans="2:29" ht="13.9">
      <c r="B305" s="292" t="s">
        <v>373</v>
      </c>
      <c r="C305" s="293">
        <v>6.18</v>
      </c>
      <c r="D305" s="293">
        <v>-0.32300000000000001</v>
      </c>
      <c r="E305" s="291">
        <f t="shared" si="36"/>
        <v>5.8569999999999993</v>
      </c>
      <c r="F305" s="290">
        <v>5.923</v>
      </c>
      <c r="G305" s="290">
        <v>5.952</v>
      </c>
      <c r="AC305" s="351">
        <v>5.952</v>
      </c>
    </row>
    <row r="306" spans="2:29" ht="13.9">
      <c r="B306" s="292" t="s">
        <v>374</v>
      </c>
      <c r="C306" s="293">
        <v>0.64400000000000002</v>
      </c>
      <c r="D306" s="293">
        <v>-0.107</v>
      </c>
      <c r="E306" s="291">
        <f t="shared" si="36"/>
        <v>0.53700000000000003</v>
      </c>
      <c r="F306" s="290">
        <v>0.53800000000000003</v>
      </c>
      <c r="G306" s="290">
        <v>0.51400000000000001</v>
      </c>
      <c r="AC306" s="351">
        <v>0.51400000000000001</v>
      </c>
    </row>
    <row r="307" spans="2:29" ht="13.9">
      <c r="B307" s="292" t="s">
        <v>996</v>
      </c>
      <c r="C307" s="293">
        <v>5.6749999999999998</v>
      </c>
      <c r="D307" s="293">
        <v>-2.8407000000000002E-2</v>
      </c>
      <c r="E307" s="291">
        <f t="shared" si="36"/>
        <v>5.6465930000000002</v>
      </c>
      <c r="F307" s="290">
        <v>5.7095929999999999</v>
      </c>
      <c r="G307" s="290">
        <v>5.6070000000000002</v>
      </c>
      <c r="AC307" s="351">
        <v>5.6070000000000002</v>
      </c>
    </row>
    <row r="308" spans="2:29" ht="13.9">
      <c r="B308" s="292" t="s">
        <v>375</v>
      </c>
      <c r="C308" s="293">
        <v>4.5739999999999998</v>
      </c>
      <c r="D308" s="293">
        <v>-3.1890999999999996E-2</v>
      </c>
      <c r="E308" s="291">
        <f t="shared" si="36"/>
        <v>4.542109</v>
      </c>
      <c r="F308" s="290">
        <v>4.4441090000000001</v>
      </c>
      <c r="G308" s="290">
        <v>5.27</v>
      </c>
      <c r="AC308" s="351">
        <v>5.2700000000000005</v>
      </c>
    </row>
    <row r="309" spans="2:29" ht="13.9">
      <c r="B309" s="292" t="s">
        <v>376</v>
      </c>
      <c r="C309" s="293">
        <v>6.5709999999999997</v>
      </c>
      <c r="D309" s="293">
        <v>-3.052</v>
      </c>
      <c r="E309" s="291">
        <f t="shared" si="36"/>
        <v>3.5189999999999997</v>
      </c>
      <c r="F309" s="290">
        <v>3.5569999999999999</v>
      </c>
      <c r="G309" s="290">
        <v>3.5</v>
      </c>
      <c r="AC309" s="351">
        <v>3.5490000000000004</v>
      </c>
    </row>
    <row r="310" spans="2:29" ht="13.9">
      <c r="B310" s="292" t="s">
        <v>377</v>
      </c>
      <c r="C310" s="293">
        <v>0.41899999999999998</v>
      </c>
      <c r="D310" s="293">
        <v>0</v>
      </c>
      <c r="E310" s="291">
        <f t="shared" si="36"/>
        <v>0.41899999999999998</v>
      </c>
      <c r="F310" s="290">
        <v>0.42399999999999999</v>
      </c>
      <c r="G310" s="290">
        <v>0.42599999999999999</v>
      </c>
      <c r="AC310" s="351">
        <v>0.42599999999999999</v>
      </c>
    </row>
    <row r="311" spans="2:29" ht="13.9">
      <c r="B311" s="292" t="s">
        <v>378</v>
      </c>
      <c r="C311" s="293">
        <v>1.53</v>
      </c>
      <c r="D311" s="293">
        <v>-0.19</v>
      </c>
      <c r="E311" s="291">
        <f t="shared" si="36"/>
        <v>1.34</v>
      </c>
      <c r="F311" s="290">
        <v>1.359</v>
      </c>
      <c r="G311" s="290">
        <v>1.3</v>
      </c>
      <c r="AC311" s="351">
        <v>1.341</v>
      </c>
    </row>
    <row r="312" spans="2:29" ht="13.9">
      <c r="B312" s="292" t="s">
        <v>56</v>
      </c>
      <c r="C312" s="293">
        <v>7.6</v>
      </c>
      <c r="D312" s="293">
        <v>0</v>
      </c>
      <c r="E312" s="291">
        <f t="shared" si="36"/>
        <v>7.6</v>
      </c>
      <c r="F312" s="290">
        <v>7.6</v>
      </c>
      <c r="G312" s="290">
        <v>7.6</v>
      </c>
      <c r="AC312" s="351">
        <v>7.6</v>
      </c>
    </row>
    <row r="313" spans="2:29" ht="13.9">
      <c r="B313" s="292" t="s">
        <v>379</v>
      </c>
      <c r="C313" s="293">
        <v>9.8239999999999998</v>
      </c>
      <c r="D313" s="293">
        <v>0</v>
      </c>
      <c r="E313" s="291">
        <f t="shared" si="36"/>
        <v>9.8239999999999998</v>
      </c>
      <c r="F313" s="290">
        <v>9.484</v>
      </c>
      <c r="G313" s="290">
        <v>7.0069999999999997</v>
      </c>
      <c r="AC313" s="351">
        <v>7.0069999999999997</v>
      </c>
    </row>
    <row r="314" spans="2:29" ht="13.9">
      <c r="B314" s="292" t="s">
        <v>101</v>
      </c>
      <c r="C314" s="293">
        <v>4.758</v>
      </c>
      <c r="D314" s="293">
        <v>0</v>
      </c>
      <c r="E314" s="291">
        <f t="shared" si="36"/>
        <v>4.758</v>
      </c>
      <c r="F314" s="290">
        <v>21.303740357718009</v>
      </c>
      <c r="G314" s="290">
        <v>6.5</v>
      </c>
      <c r="AC314" s="351">
        <v>6.5</v>
      </c>
    </row>
    <row r="315" spans="2:29" ht="13.9">
      <c r="B315" s="292" t="s">
        <v>380</v>
      </c>
      <c r="C315" s="293">
        <v>0.38200000000000001</v>
      </c>
      <c r="D315" s="293">
        <v>0</v>
      </c>
      <c r="E315" s="291">
        <f t="shared" si="36"/>
        <v>0.38200000000000001</v>
      </c>
      <c r="F315" s="290">
        <v>0.38200000000000001</v>
      </c>
      <c r="G315" s="290">
        <v>0.38200000000000001</v>
      </c>
      <c r="AC315" s="351">
        <v>0.38200000000000001</v>
      </c>
    </row>
    <row r="316" spans="2:29" ht="14.25" thickBot="1">
      <c r="B316" s="388" t="s">
        <v>381</v>
      </c>
      <c r="C316" s="383">
        <v>4.4550000000000001</v>
      </c>
      <c r="D316" s="383">
        <v>0</v>
      </c>
      <c r="E316" s="342">
        <f t="shared" si="36"/>
        <v>4.4550000000000001</v>
      </c>
      <c r="F316" s="341">
        <v>4.3209999999999997</v>
      </c>
      <c r="G316" s="341">
        <v>4.2889999999999997</v>
      </c>
      <c r="AC316" s="351">
        <v>4.2889999999999997</v>
      </c>
    </row>
    <row r="317" spans="2:29" ht="14.25" thickBot="1">
      <c r="B317" s="389" t="s">
        <v>382</v>
      </c>
      <c r="C317" s="342">
        <f>SUM(C277:C316)</f>
        <v>697.03691647823484</v>
      </c>
      <c r="D317" s="342">
        <f>SUM(D277:D316)</f>
        <v>-495.90391647823469</v>
      </c>
      <c r="E317" s="342">
        <f t="shared" si="36"/>
        <v>201.13300000000015</v>
      </c>
      <c r="F317" s="381">
        <f>SUM(F277:F316)</f>
        <v>195.39400000000006</v>
      </c>
      <c r="G317" s="381">
        <f>SUM(G277:G316)</f>
        <v>174.16200000000006</v>
      </c>
      <c r="AC317" s="351">
        <v>173.9620000000001</v>
      </c>
    </row>
    <row r="318" spans="2:29" ht="14.25" thickBot="1">
      <c r="B318" s="388" t="s">
        <v>647</v>
      </c>
      <c r="C318" s="383">
        <f>-E16</f>
        <v>-1</v>
      </c>
      <c r="D318" s="383">
        <f>E32</f>
        <v>425.56700000000001</v>
      </c>
      <c r="E318" s="342">
        <f t="shared" si="36"/>
        <v>424.56700000000001</v>
      </c>
      <c r="F318" s="341">
        <f>F32-F16</f>
        <v>399.10599999999999</v>
      </c>
      <c r="G318" s="341">
        <f>G32-G16</f>
        <v>385.03800000000001</v>
      </c>
      <c r="AC318" s="351">
        <v>385.03800000000001</v>
      </c>
    </row>
    <row r="319" spans="2:29" ht="14.25" thickBot="1">
      <c r="B319" s="389" t="s">
        <v>383</v>
      </c>
      <c r="C319" s="342">
        <f>SUM(C317:C318)</f>
        <v>696.03691647823484</v>
      </c>
      <c r="D319" s="342">
        <f t="shared" ref="D319:G319" si="37">SUM(D317:D318)</f>
        <v>-70.336916478234684</v>
      </c>
      <c r="E319" s="342">
        <f t="shared" si="36"/>
        <v>625.70000000000016</v>
      </c>
      <c r="F319" s="381">
        <f t="shared" si="37"/>
        <v>594.5</v>
      </c>
      <c r="G319" s="381">
        <f t="shared" si="37"/>
        <v>559.20000000000005</v>
      </c>
      <c r="AC319" s="351">
        <v>559.00000000000011</v>
      </c>
    </row>
    <row r="320" spans="2:29" ht="13.9">
      <c r="B320" s="334" t="s">
        <v>384</v>
      </c>
      <c r="C320" s="390">
        <f>C317-SUM(E112:E114)</f>
        <v>2.6369164782349799</v>
      </c>
      <c r="D320" s="390">
        <f>D319-SUM(E121:E122)</f>
        <v>-2.6369164782350083</v>
      </c>
      <c r="E320" s="390">
        <f>E319-E15</f>
        <v>0</v>
      </c>
      <c r="F320" s="390">
        <f>F319-F15</f>
        <v>0</v>
      </c>
      <c r="G320" s="390">
        <f>G319-G15</f>
        <v>0</v>
      </c>
      <c r="AC320" s="351">
        <v>0</v>
      </c>
    </row>
    <row r="321" spans="3:7">
      <c r="C321" s="411"/>
      <c r="D321" s="411"/>
      <c r="E321" s="411"/>
      <c r="F321" s="411"/>
      <c r="G321" s="411"/>
    </row>
  </sheetData>
  <mergeCells count="16">
    <mergeCell ref="G2:G3"/>
    <mergeCell ref="C143:C144"/>
    <mergeCell ref="D143:D144"/>
    <mergeCell ref="E143:E144"/>
    <mergeCell ref="F143:F144"/>
    <mergeCell ref="G143:G144"/>
    <mergeCell ref="D272:D273"/>
    <mergeCell ref="C2:C3"/>
    <mergeCell ref="D2:D3"/>
    <mergeCell ref="E2:E3"/>
    <mergeCell ref="F2:F3"/>
    <mergeCell ref="B213:B215"/>
    <mergeCell ref="B246:B247"/>
    <mergeCell ref="B254:B256"/>
    <mergeCell ref="B263:B265"/>
    <mergeCell ref="B272:B275"/>
  </mergeCells>
  <conditionalFormatting sqref="C38:G38 C181:G190 F74:G79 C191:C192 F191:G192 G210 F199:G209 C39:F39 C40:D40">
    <cfRule type="cellIs" dxfId="104" priority="24" operator="notEqual">
      <formula>0</formula>
    </cfRule>
  </conditionalFormatting>
  <conditionalFormatting sqref="D44">
    <cfRule type="cellIs" dxfId="103" priority="23" operator="notEqual">
      <formula>0</formula>
    </cfRule>
  </conditionalFormatting>
  <conditionalFormatting sqref="C53">
    <cfRule type="cellIs" dxfId="102" priority="22" operator="notEqual">
      <formula>0</formula>
    </cfRule>
  </conditionalFormatting>
  <conditionalFormatting sqref="C139:F140 G139">
    <cfRule type="cellIs" dxfId="101" priority="21" operator="notEqual">
      <formula>0</formula>
    </cfRule>
  </conditionalFormatting>
  <conditionalFormatting sqref="D72:F72">
    <cfRule type="cellIs" dxfId="100" priority="20" operator="notEqual">
      <formula>0</formula>
    </cfRule>
  </conditionalFormatting>
  <conditionalFormatting sqref="F106">
    <cfRule type="cellIs" dxfId="99" priority="16" operator="notEqual">
      <formula>0</formula>
    </cfRule>
  </conditionalFormatting>
  <conditionalFormatting sqref="C106:F106">
    <cfRule type="cellIs" dxfId="98" priority="19" operator="notEqual">
      <formula>0</formula>
    </cfRule>
  </conditionalFormatting>
  <conditionalFormatting sqref="D106">
    <cfRule type="cellIs" dxfId="97" priority="18" operator="notEqual">
      <formula>0</formula>
    </cfRule>
  </conditionalFormatting>
  <conditionalFormatting sqref="E106">
    <cfRule type="cellIs" dxfId="96" priority="17" operator="notEqual">
      <formula>0</formula>
    </cfRule>
  </conditionalFormatting>
  <conditionalFormatting sqref="C242:G242">
    <cfRule type="cellIs" dxfId="95" priority="15" operator="notEqual">
      <formula>0</formula>
    </cfRule>
  </conditionalFormatting>
  <conditionalFormatting sqref="G242">
    <cfRule type="cellIs" dxfId="94" priority="14" operator="notEqual">
      <formula>0</formula>
    </cfRule>
  </conditionalFormatting>
  <conditionalFormatting sqref="G38:G39">
    <cfRule type="cellIs" dxfId="93" priority="13" operator="notEqual">
      <formula>0</formula>
    </cfRule>
  </conditionalFormatting>
  <conditionalFormatting sqref="G139:G140">
    <cfRule type="cellIs" dxfId="92" priority="12" operator="notEqual">
      <formula>0</formula>
    </cfRule>
  </conditionalFormatting>
  <conditionalFormatting sqref="G72">
    <cfRule type="cellIs" dxfId="91" priority="11" operator="notEqual">
      <formula>0</formula>
    </cfRule>
  </conditionalFormatting>
  <conditionalFormatting sqref="G106">
    <cfRule type="cellIs" dxfId="90" priority="9" operator="notEqual">
      <formula>0</formula>
    </cfRule>
  </conditionalFormatting>
  <conditionalFormatting sqref="G106">
    <cfRule type="cellIs" dxfId="89" priority="10" operator="notEqual">
      <formula>0</formula>
    </cfRule>
  </conditionalFormatting>
  <conditionalFormatting sqref="E320:G320">
    <cfRule type="cellIs" dxfId="88" priority="8" operator="notEqual">
      <formula>0</formula>
    </cfRule>
  </conditionalFormatting>
  <conditionalFormatting sqref="G320">
    <cfRule type="cellIs" dxfId="87" priority="7" operator="notEqual">
      <formula>0</formula>
    </cfRule>
  </conditionalFormatting>
  <conditionalFormatting sqref="C180:G180">
    <cfRule type="cellIs" dxfId="86" priority="6" operator="notEqual">
      <formula>0</formula>
    </cfRule>
  </conditionalFormatting>
  <conditionalFormatting sqref="G180">
    <cfRule type="cellIs" dxfId="85" priority="5" operator="notEqual">
      <formula>0</formula>
    </cfRule>
  </conditionalFormatting>
  <conditionalFormatting sqref="D73:G73">
    <cfRule type="cellIs" dxfId="84" priority="4" operator="notEqual">
      <formula>0</formula>
    </cfRule>
  </conditionalFormatting>
  <conditionalFormatting sqref="C320:D320">
    <cfRule type="cellIs" dxfId="83" priority="3" operator="notEqual">
      <formula>0</formula>
    </cfRule>
  </conditionalFormatting>
  <conditionalFormatting sqref="D80:G90">
    <cfRule type="cellIs" dxfId="82" priority="2" operator="notEqual">
      <formula>0</formula>
    </cfRule>
  </conditionalFormatting>
  <conditionalFormatting sqref="G186">
    <cfRule type="cellIs" dxfId="81" priority="1" operator="notEqual">
      <formula>0</formula>
    </cfRule>
  </conditionalFormatting>
  <hyperlinks>
    <hyperlink ref="I6" r:id="rId2" xr:uid="{15270235-B602-45B6-8ABC-FB210EB1FD14}"/>
  </hyperlinks>
  <pageMargins left="0.70866141732283472" right="0.70866141732283472" top="0.74803149606299213" bottom="0.74803149606299213" header="0.31496062992125984" footer="0.31496062992125984"/>
  <pageSetup paperSize="9" scale="1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7773-1044-4B33-A6FB-1741E998783D}">
  <sheetPr>
    <pageSetUpPr fitToPage="1"/>
  </sheetPr>
  <dimension ref="B1:O329"/>
  <sheetViews>
    <sheetView showGridLines="0" topLeftCell="A7" zoomScale="190" zoomScaleNormal="190" workbookViewId="0">
      <selection activeCell="D14" sqref="D14"/>
    </sheetView>
  </sheetViews>
  <sheetFormatPr defaultColWidth="9.1328125" defaultRowHeight="13.5"/>
  <cols>
    <col min="1" max="1" width="3.73046875" style="351" customWidth="1"/>
    <col min="2" max="2" width="49.59765625" style="351" bestFit="1" customWidth="1"/>
    <col min="3" max="7" width="10.3984375" style="351" customWidth="1"/>
    <col min="8" max="8" width="11.59765625" style="351" bestFit="1" customWidth="1"/>
    <col min="9" max="9" width="29.3984375" style="351" customWidth="1"/>
    <col min="10" max="10" width="8.1328125" style="351" customWidth="1"/>
    <col min="11" max="13" width="9.1328125" style="351"/>
    <col min="14" max="14" width="43.3984375" style="351" bestFit="1" customWidth="1"/>
    <col min="15" max="16384" width="9.1328125" style="351"/>
  </cols>
  <sheetData>
    <row r="1" spans="2:9" ht="14.25" thickBot="1">
      <c r="B1" s="298" t="s">
        <v>241</v>
      </c>
    </row>
    <row r="2" spans="2:9" ht="15" customHeight="1" thickBot="1">
      <c r="B2" s="299" t="s">
        <v>242</v>
      </c>
      <c r="C2" s="479" t="s">
        <v>138</v>
      </c>
      <c r="D2" s="479" t="s">
        <v>243</v>
      </c>
      <c r="E2" s="480" t="s">
        <v>231</v>
      </c>
      <c r="F2" s="479" t="s">
        <v>140</v>
      </c>
      <c r="G2" s="479" t="s">
        <v>140</v>
      </c>
    </row>
    <row r="3" spans="2:9" ht="13.9">
      <c r="B3" s="300" t="s">
        <v>244</v>
      </c>
      <c r="C3" s="479"/>
      <c r="D3" s="479"/>
      <c r="E3" s="480"/>
      <c r="F3" s="479"/>
      <c r="G3" s="479"/>
    </row>
    <row r="4" spans="2:9" ht="13.9">
      <c r="B4" s="301"/>
      <c r="C4" s="296" t="s">
        <v>127</v>
      </c>
      <c r="D4" s="296" t="s">
        <v>127</v>
      </c>
      <c r="E4" s="291" t="s">
        <v>128</v>
      </c>
      <c r="F4" s="296" t="s">
        <v>129</v>
      </c>
      <c r="G4" s="296" t="s">
        <v>130</v>
      </c>
    </row>
    <row r="5" spans="2:9" ht="14.25" thickBot="1">
      <c r="B5" s="302"/>
      <c r="C5" s="303" t="s">
        <v>40</v>
      </c>
      <c r="D5" s="303" t="s">
        <v>40</v>
      </c>
      <c r="E5" s="304" t="s">
        <v>40</v>
      </c>
      <c r="F5" s="303" t="s">
        <v>40</v>
      </c>
      <c r="G5" s="303" t="s">
        <v>40</v>
      </c>
    </row>
    <row r="6" spans="2:9" ht="13.9">
      <c r="B6" s="305" t="s">
        <v>245</v>
      </c>
      <c r="C6" s="306"/>
      <c r="D6" s="306"/>
      <c r="E6" s="307"/>
      <c r="F6" s="306"/>
      <c r="G6" s="306"/>
    </row>
    <row r="7" spans="2:9">
      <c r="B7" s="308" t="s">
        <v>246</v>
      </c>
      <c r="C7" s="309">
        <v>77.3</v>
      </c>
      <c r="D7" s="309">
        <v>75</v>
      </c>
      <c r="E7" s="307">
        <v>74.100000000000009</v>
      </c>
      <c r="F7" s="351">
        <v>65</v>
      </c>
      <c r="G7" s="351">
        <v>60.8</v>
      </c>
    </row>
    <row r="8" spans="2:9">
      <c r="B8" s="308" t="s">
        <v>94</v>
      </c>
      <c r="C8" s="309">
        <v>35.400000000000006</v>
      </c>
      <c r="D8" s="309">
        <v>35.400000000000006</v>
      </c>
      <c r="E8" s="307">
        <v>64.699999999999989</v>
      </c>
      <c r="F8" s="351">
        <v>41</v>
      </c>
      <c r="G8" s="351">
        <v>24.9</v>
      </c>
    </row>
    <row r="9" spans="2:9">
      <c r="B9" s="308" t="s">
        <v>247</v>
      </c>
      <c r="C9" s="309">
        <v>390.6</v>
      </c>
      <c r="D9" s="309">
        <f>387.8</f>
        <v>387.8</v>
      </c>
      <c r="E9" s="307">
        <v>412.40000000000003</v>
      </c>
      <c r="F9" s="351">
        <v>398.5</v>
      </c>
      <c r="G9" s="351">
        <v>398.1</v>
      </c>
    </row>
    <row r="10" spans="2:9">
      <c r="B10" s="308" t="s">
        <v>248</v>
      </c>
      <c r="C10" s="309">
        <v>22.7</v>
      </c>
      <c r="D10" s="309">
        <v>22.7</v>
      </c>
      <c r="E10" s="307">
        <v>26.6</v>
      </c>
      <c r="F10" s="351">
        <v>26.7</v>
      </c>
      <c r="G10" s="351">
        <v>23.8</v>
      </c>
    </row>
    <row r="11" spans="2:9">
      <c r="B11" s="308" t="s">
        <v>107</v>
      </c>
      <c r="C11" s="309">
        <v>27.500000000000057</v>
      </c>
      <c r="D11" s="309">
        <v>27.500000000000057</v>
      </c>
      <c r="E11" s="307">
        <v>29.4</v>
      </c>
      <c r="F11" s="351">
        <v>29.099999999999966</v>
      </c>
      <c r="G11" s="351">
        <v>31.500000000000128</v>
      </c>
    </row>
    <row r="12" spans="2:9">
      <c r="B12" s="308" t="s">
        <v>249</v>
      </c>
      <c r="C12" s="309">
        <v>6.0089999999999995</v>
      </c>
      <c r="D12" s="309">
        <v>8.0090000000000003</v>
      </c>
      <c r="E12" s="307">
        <v>7.9999999999999991</v>
      </c>
      <c r="F12" s="351">
        <v>7</v>
      </c>
      <c r="G12" s="351">
        <v>7.8000000000000007</v>
      </c>
    </row>
    <row r="13" spans="2:9">
      <c r="B13" s="308" t="s">
        <v>109</v>
      </c>
      <c r="C13" s="309">
        <v>5.2</v>
      </c>
      <c r="D13" s="309">
        <v>5.2</v>
      </c>
      <c r="E13" s="307">
        <v>5.6</v>
      </c>
      <c r="F13" s="351">
        <v>5.7</v>
      </c>
      <c r="G13" s="351">
        <v>5.6</v>
      </c>
    </row>
    <row r="14" spans="2:9" ht="13.9" thickBot="1">
      <c r="B14" s="310" t="s">
        <v>101</v>
      </c>
      <c r="C14" s="311">
        <v>2.15</v>
      </c>
      <c r="D14" s="311">
        <v>2.15</v>
      </c>
      <c r="E14" s="312">
        <v>4.7</v>
      </c>
      <c r="F14" s="313">
        <v>21.3</v>
      </c>
      <c r="G14" s="313">
        <v>6.5</v>
      </c>
    </row>
    <row r="15" spans="2:9" ht="14.25" thickBot="1">
      <c r="B15" s="314" t="s">
        <v>245</v>
      </c>
      <c r="C15" s="315">
        <f>SUM(C7:C14)</f>
        <v>566.85900000000004</v>
      </c>
      <c r="D15" s="315">
        <f>SUM(D7:D14)</f>
        <v>563.75900000000013</v>
      </c>
      <c r="E15" s="316">
        <f>SUM(E7:E14)</f>
        <v>625.50000000000011</v>
      </c>
      <c r="F15" s="315">
        <f t="shared" ref="F15:G15" si="0">SUM(F7:F14)</f>
        <v>594.29999999999995</v>
      </c>
      <c r="G15" s="315">
        <f t="shared" si="0"/>
        <v>559.00000000000011</v>
      </c>
      <c r="H15" s="296">
        <f>E15-C15</f>
        <v>58.641000000000076</v>
      </c>
      <c r="I15" s="294" t="s">
        <v>642</v>
      </c>
    </row>
    <row r="16" spans="2:9" ht="13.9" thickBot="1">
      <c r="B16" s="310" t="s">
        <v>110</v>
      </c>
      <c r="C16" s="309">
        <v>1</v>
      </c>
      <c r="D16" s="309">
        <v>1</v>
      </c>
      <c r="E16" s="317">
        <v>1</v>
      </c>
      <c r="F16" s="309">
        <v>1</v>
      </c>
      <c r="G16" s="309">
        <v>1</v>
      </c>
    </row>
    <row r="17" spans="2:10" ht="14.25" thickBot="1">
      <c r="B17" s="314" t="s">
        <v>250</v>
      </c>
      <c r="C17" s="318">
        <f>SUM(C16:C16)</f>
        <v>1</v>
      </c>
      <c r="D17" s="318">
        <f>SUM(D16:D16)</f>
        <v>1</v>
      </c>
      <c r="E17" s="319">
        <f>SUM(E16:E16)</f>
        <v>1</v>
      </c>
      <c r="F17" s="318">
        <f>SUM(F16:F16)</f>
        <v>1</v>
      </c>
      <c r="G17" s="318">
        <f>SUM(G16:G16)</f>
        <v>1</v>
      </c>
      <c r="H17" s="296">
        <f>E17-C17</f>
        <v>0</v>
      </c>
    </row>
    <row r="18" spans="2:10">
      <c r="B18" s="310" t="s">
        <v>83</v>
      </c>
      <c r="C18" s="309">
        <v>130</v>
      </c>
      <c r="D18" s="309">
        <v>130</v>
      </c>
      <c r="E18" s="317">
        <v>130</v>
      </c>
      <c r="F18" s="309">
        <v>130</v>
      </c>
      <c r="G18" s="309">
        <v>130</v>
      </c>
    </row>
    <row r="19" spans="2:10">
      <c r="B19" s="310" t="s">
        <v>102</v>
      </c>
      <c r="C19" s="309">
        <v>20</v>
      </c>
      <c r="D19" s="309">
        <v>20</v>
      </c>
      <c r="E19" s="317">
        <v>20</v>
      </c>
      <c r="F19" s="309">
        <v>20</v>
      </c>
      <c r="G19" s="309">
        <v>20</v>
      </c>
    </row>
    <row r="20" spans="2:10">
      <c r="B20" s="310" t="s">
        <v>108</v>
      </c>
      <c r="C20" s="309">
        <v>3.4</v>
      </c>
      <c r="D20" s="309">
        <v>3.32</v>
      </c>
      <c r="E20" s="317">
        <v>1.8</v>
      </c>
      <c r="F20" s="309">
        <v>1.6</v>
      </c>
      <c r="G20" s="309">
        <v>1.5</v>
      </c>
    </row>
    <row r="21" spans="2:10" ht="19.5" customHeight="1" thickBot="1">
      <c r="B21" s="320" t="s">
        <v>105</v>
      </c>
      <c r="C21" s="311">
        <v>0</v>
      </c>
      <c r="D21" s="311">
        <v>0</v>
      </c>
      <c r="E21" s="312">
        <v>11.8</v>
      </c>
      <c r="F21" s="311">
        <v>11.8</v>
      </c>
      <c r="G21" s="311">
        <v>11.8</v>
      </c>
    </row>
    <row r="22" spans="2:10" ht="14.25" thickBot="1">
      <c r="B22" s="321" t="s">
        <v>251</v>
      </c>
      <c r="C22" s="315">
        <f>SUM(C18:C21)</f>
        <v>153.4</v>
      </c>
      <c r="D22" s="315">
        <f>SUM(D18:D21)</f>
        <v>153.32</v>
      </c>
      <c r="E22" s="322">
        <f>SUM(E18:E21)</f>
        <v>163.60000000000002</v>
      </c>
      <c r="F22" s="315">
        <f>SUM(F18:F21)</f>
        <v>163.4</v>
      </c>
      <c r="G22" s="315">
        <f>SUM(G18:G21)</f>
        <v>163.30000000000001</v>
      </c>
      <c r="H22" s="296">
        <f>E22-C22</f>
        <v>10.200000000000017</v>
      </c>
    </row>
    <row r="23" spans="2:10" ht="13.9">
      <c r="B23" s="310" t="s">
        <v>252</v>
      </c>
      <c r="C23" s="309">
        <v>-27</v>
      </c>
      <c r="D23" s="309">
        <v>-54.94</v>
      </c>
      <c r="E23" s="317">
        <v>-36</v>
      </c>
      <c r="F23" s="309">
        <v>-31.4</v>
      </c>
      <c r="G23" s="309">
        <v>-26.3</v>
      </c>
      <c r="H23" s="296"/>
    </row>
    <row r="24" spans="2:10" ht="13.9">
      <c r="B24" s="310" t="s">
        <v>253</v>
      </c>
      <c r="C24" s="309">
        <v>-130</v>
      </c>
      <c r="D24" s="309">
        <v>-130</v>
      </c>
      <c r="E24" s="317">
        <v>-130</v>
      </c>
      <c r="F24" s="309">
        <v>-130</v>
      </c>
      <c r="G24" s="309">
        <v>-130</v>
      </c>
      <c r="H24" s="296"/>
    </row>
    <row r="25" spans="2:10" ht="13.9">
      <c r="B25" s="310" t="s">
        <v>254</v>
      </c>
      <c r="C25" s="309">
        <v>-20</v>
      </c>
      <c r="D25" s="309">
        <v>-20</v>
      </c>
      <c r="E25" s="317">
        <v>-20</v>
      </c>
      <c r="F25" s="309">
        <v>-20</v>
      </c>
      <c r="G25" s="309">
        <v>-20</v>
      </c>
      <c r="H25" s="296"/>
    </row>
    <row r="26" spans="2:10" ht="14.25" thickBot="1">
      <c r="B26" s="320" t="s">
        <v>255</v>
      </c>
      <c r="C26" s="311">
        <v>-15</v>
      </c>
      <c r="D26" s="311">
        <v>-12.2</v>
      </c>
      <c r="E26" s="312">
        <v>-15</v>
      </c>
      <c r="F26" s="311">
        <v>-15</v>
      </c>
      <c r="G26" s="311">
        <v>-15</v>
      </c>
      <c r="H26" s="296"/>
    </row>
    <row r="27" spans="2:10" ht="14.25" thickBot="1">
      <c r="B27" s="321" t="s">
        <v>75</v>
      </c>
      <c r="C27" s="315">
        <f>SUM(C23:C26)</f>
        <v>-192</v>
      </c>
      <c r="D27" s="315">
        <f>SUM(D23:D26)</f>
        <v>-217.14</v>
      </c>
      <c r="E27" s="316">
        <f>SUM(E23:E26)</f>
        <v>-201</v>
      </c>
      <c r="F27" s="315">
        <f>SUM(F23:F26)</f>
        <v>-196.4</v>
      </c>
      <c r="G27" s="315">
        <f>SUM(G23:G26)</f>
        <v>-191.3</v>
      </c>
      <c r="H27" s="296">
        <f>E27-C27</f>
        <v>-9</v>
      </c>
    </row>
    <row r="28" spans="2:10" ht="13.9">
      <c r="B28" s="310" t="s">
        <v>645</v>
      </c>
      <c r="C28" s="309">
        <v>87.339422895145091</v>
      </c>
      <c r="D28" s="309">
        <v>115.659423</v>
      </c>
      <c r="E28" s="317">
        <v>-28.520267955235632</v>
      </c>
      <c r="F28" s="309">
        <v>-15.781070222916707</v>
      </c>
      <c r="G28" s="309">
        <v>2.6091883726249336</v>
      </c>
      <c r="H28" s="296">
        <f>E28-C28</f>
        <v>-115.85969085038073</v>
      </c>
    </row>
    <row r="29" spans="2:10" ht="13.9">
      <c r="B29" s="310" t="s">
        <v>256</v>
      </c>
      <c r="C29" s="309">
        <v>-41.9</v>
      </c>
      <c r="D29" s="309">
        <v>-41.9</v>
      </c>
      <c r="E29" s="317">
        <v>-11.8</v>
      </c>
      <c r="F29" s="309">
        <v>-11.8</v>
      </c>
      <c r="G29" s="309">
        <v>0</v>
      </c>
      <c r="H29" s="296">
        <f>E29-C29</f>
        <v>30.099999999999998</v>
      </c>
      <c r="I29" s="373">
        <f>SUM(H28:H29)</f>
        <v>-85.759690850380736</v>
      </c>
      <c r="J29" s="351" t="s">
        <v>667</v>
      </c>
    </row>
    <row r="30" spans="2:10" ht="13.9" thickBot="1">
      <c r="B30" s="320" t="s">
        <v>643</v>
      </c>
      <c r="C30" s="311">
        <v>0</v>
      </c>
      <c r="D30" s="311">
        <v>0</v>
      </c>
      <c r="E30" s="312">
        <v>0</v>
      </c>
      <c r="F30" s="311">
        <v>-8.9</v>
      </c>
      <c r="G30" s="311">
        <v>-21</v>
      </c>
    </row>
    <row r="31" spans="2:10" ht="14.25" thickBot="1">
      <c r="B31" s="321" t="s">
        <v>257</v>
      </c>
      <c r="C31" s="315">
        <f>C15+C17+C22+C27+SUM(C28:C30)</f>
        <v>574.69842289514509</v>
      </c>
      <c r="D31" s="315">
        <f t="shared" ref="D31:G31" si="1">D15+D17+D22+D27+SUM(D28:D30)</f>
        <v>574.69842300000016</v>
      </c>
      <c r="E31" s="316">
        <f t="shared" si="1"/>
        <v>548.7797320447645</v>
      </c>
      <c r="F31" s="315">
        <f t="shared" si="1"/>
        <v>525.81892977708321</v>
      </c>
      <c r="G31" s="315">
        <f t="shared" si="1"/>
        <v>513.60918837262511</v>
      </c>
      <c r="H31" s="296">
        <f t="shared" ref="H31:H32" si="2">E31-C31</f>
        <v>-25.918690850380585</v>
      </c>
      <c r="I31" s="373">
        <f>H31-I29</f>
        <v>59.84100000000015</v>
      </c>
      <c r="J31" s="351" t="s">
        <v>668</v>
      </c>
    </row>
    <row r="32" spans="2:10" ht="13.9">
      <c r="B32" s="323" t="s">
        <v>258</v>
      </c>
      <c r="C32" s="324">
        <v>370.96499999999997</v>
      </c>
      <c r="D32" s="324">
        <v>370.96499999999997</v>
      </c>
      <c r="E32" s="325">
        <v>425.56700000000001</v>
      </c>
      <c r="F32" s="351">
        <v>400.10599999999999</v>
      </c>
      <c r="G32" s="351">
        <v>386.03800000000001</v>
      </c>
      <c r="H32" s="296">
        <f t="shared" si="2"/>
        <v>54.602000000000032</v>
      </c>
    </row>
    <row r="33" spans="2:8" ht="13.9" thickBot="1">
      <c r="B33" s="326" t="s">
        <v>238</v>
      </c>
      <c r="C33" s="327">
        <v>125.05744598477598</v>
      </c>
      <c r="D33" s="327">
        <v>125.05744598477598</v>
      </c>
      <c r="E33" s="307">
        <v>56.436755134395391</v>
      </c>
      <c r="F33" s="351">
        <v>57.712929777083303</v>
      </c>
      <c r="G33" s="351">
        <v>58.871188372624999</v>
      </c>
    </row>
    <row r="34" spans="2:8" ht="13.9" thickBot="1">
      <c r="B34" s="328" t="s">
        <v>675</v>
      </c>
      <c r="C34" s="329">
        <v>12.600000000000001</v>
      </c>
      <c r="D34" s="329">
        <v>12.600000000000001</v>
      </c>
      <c r="E34" s="307">
        <v>0</v>
      </c>
      <c r="F34" s="351">
        <v>0</v>
      </c>
      <c r="G34" s="351">
        <v>0</v>
      </c>
    </row>
    <row r="35" spans="2:8" ht="13.9" thickBot="1">
      <c r="B35" s="330" t="s">
        <v>260</v>
      </c>
      <c r="C35" s="331">
        <v>-0.62402308963083497</v>
      </c>
      <c r="D35" s="331">
        <v>-0.62402308963083497</v>
      </c>
      <c r="E35" s="312">
        <v>-0.62402308963083497</v>
      </c>
      <c r="F35" s="331">
        <v>0</v>
      </c>
      <c r="G35" s="331">
        <v>0</v>
      </c>
    </row>
    <row r="36" spans="2:8" ht="14.25" thickBot="1">
      <c r="B36" s="332" t="s">
        <v>262</v>
      </c>
      <c r="C36" s="315">
        <f>C31-SUM(C32:C35)</f>
        <v>66.699999999999932</v>
      </c>
      <c r="D36" s="315">
        <f t="shared" ref="D36:E36" si="3">D31-SUM(D32:D35)</f>
        <v>66.700000104855008</v>
      </c>
      <c r="E36" s="316">
        <f t="shared" si="3"/>
        <v>67.39999999999992</v>
      </c>
      <c r="F36" s="315">
        <f>F31-SUM(F32:F35)</f>
        <v>67.999999999999886</v>
      </c>
      <c r="G36" s="315">
        <f t="shared" ref="G36" si="4">G31-SUM(G32:G35)</f>
        <v>68.700000000000102</v>
      </c>
    </row>
    <row r="37" spans="2:8" s="392" customFormat="1" ht="13.9">
      <c r="B37" s="333" t="s">
        <v>263</v>
      </c>
      <c r="C37" s="333" t="e">
        <f>#REF!-C187</f>
        <v>#REF!</v>
      </c>
      <c r="D37" s="333" t="e">
        <f>C37</f>
        <v>#REF!</v>
      </c>
      <c r="E37" s="333" t="e">
        <f>#REF!</f>
        <v>#REF!</v>
      </c>
      <c r="F37" s="333" t="e">
        <f>#REF!</f>
        <v>#REF!</v>
      </c>
      <c r="G37" s="333" t="e">
        <f>#REF!</f>
        <v>#REF!</v>
      </c>
      <c r="H37" s="297"/>
    </row>
    <row r="38" spans="2:8" ht="13.9">
      <c r="B38" s="333" t="s">
        <v>264</v>
      </c>
      <c r="C38" s="390" t="e">
        <f t="shared" ref="C38:E38" si="5">ROUND(C37-C36,6)</f>
        <v>#REF!</v>
      </c>
      <c r="D38" s="390" t="e">
        <f t="shared" si="5"/>
        <v>#REF!</v>
      </c>
      <c r="E38" s="390" t="e">
        <f t="shared" si="5"/>
        <v>#REF!</v>
      </c>
      <c r="F38" s="390" t="e">
        <f>ROUND(F37-F36,6)</f>
        <v>#REF!</v>
      </c>
      <c r="G38" s="390" t="e">
        <f t="shared" ref="G38" si="6">ROUND(G37-G36,6)</f>
        <v>#REF!</v>
      </c>
    </row>
    <row r="39" spans="2:8" ht="13.9">
      <c r="B39" s="334" t="s">
        <v>265</v>
      </c>
      <c r="C39" s="390">
        <f>SUM(C32:C36)-C31</f>
        <v>0</v>
      </c>
      <c r="D39" s="390">
        <f>SUM(D32:D36)-D31</f>
        <v>0</v>
      </c>
      <c r="E39" s="390">
        <f>SUM(E32:E36)-E31</f>
        <v>0</v>
      </c>
      <c r="F39" s="390">
        <f>SUM(F32:F36)-F31</f>
        <v>0</v>
      </c>
      <c r="G39" s="390">
        <f>SUM(G32:G36)-G31</f>
        <v>0</v>
      </c>
    </row>
    <row r="40" spans="2:8" ht="13.9">
      <c r="B40" s="334"/>
      <c r="C40" s="390"/>
      <c r="D40" s="390"/>
      <c r="E40" s="390"/>
      <c r="F40" s="390"/>
      <c r="G40" s="390"/>
    </row>
    <row r="42" spans="2:8" ht="14.25" thickBot="1">
      <c r="B42" s="298" t="s">
        <v>266</v>
      </c>
      <c r="C42" s="391"/>
      <c r="D42" s="391"/>
      <c r="E42" s="391"/>
      <c r="F42" s="391"/>
      <c r="G42" s="391"/>
    </row>
    <row r="43" spans="2:8" ht="14.25" thickBot="1">
      <c r="B43" s="335" t="s">
        <v>267</v>
      </c>
      <c r="C43" s="336" t="s">
        <v>40</v>
      </c>
    </row>
    <row r="44" spans="2:8">
      <c r="B44" s="308" t="s">
        <v>274</v>
      </c>
      <c r="C44" s="293">
        <f>C36</f>
        <v>66.699999999999932</v>
      </c>
      <c r="D44" s="393" t="e">
        <f>C44-C37</f>
        <v>#REF!</v>
      </c>
      <c r="E44" s="351" t="s">
        <v>268</v>
      </c>
    </row>
    <row r="45" spans="2:8" ht="13.9">
      <c r="B45" s="305" t="s">
        <v>269</v>
      </c>
      <c r="C45" s="293"/>
      <c r="D45" s="351">
        <v>0</v>
      </c>
    </row>
    <row r="46" spans="2:8">
      <c r="B46" s="308" t="s">
        <v>387</v>
      </c>
      <c r="C46" s="293">
        <f>(E15+E17+E22+E27-C15-C17-C22-C27)+1.4210854715202E-13</f>
        <v>59.841000000000236</v>
      </c>
    </row>
    <row r="47" spans="2:8">
      <c r="B47" s="308" t="s">
        <v>270</v>
      </c>
      <c r="C47" s="293">
        <f>E28+E29-C28-C29</f>
        <v>-85.759690850380736</v>
      </c>
    </row>
    <row r="48" spans="2:8">
      <c r="B48" s="308" t="s">
        <v>271</v>
      </c>
      <c r="C48" s="293">
        <f>C32+C34-E32-E34</f>
        <v>-42.00200000000001</v>
      </c>
    </row>
    <row r="49" spans="2:8">
      <c r="B49" s="308" t="s">
        <v>272</v>
      </c>
      <c r="C49" s="293">
        <f>C33-E33</f>
        <v>68.620690850380583</v>
      </c>
    </row>
    <row r="50" spans="2:8" ht="13.9" thickBot="1">
      <c r="B50" s="295" t="s">
        <v>273</v>
      </c>
      <c r="C50" s="293">
        <f>C35-E35</f>
        <v>0</v>
      </c>
    </row>
    <row r="51" spans="2:8" ht="14.25" thickBot="1">
      <c r="B51" s="337" t="s">
        <v>636</v>
      </c>
      <c r="C51" s="338">
        <f>SUM(C44:C50)</f>
        <v>67.400000000000006</v>
      </c>
    </row>
    <row r="52" spans="2:8" ht="13.9">
      <c r="B52" s="334" t="s">
        <v>275</v>
      </c>
      <c r="C52" s="334" t="e">
        <f>E37</f>
        <v>#REF!</v>
      </c>
    </row>
    <row r="53" spans="2:8" ht="13.9">
      <c r="B53" s="334" t="s">
        <v>264</v>
      </c>
      <c r="C53" s="393" t="e">
        <f>C52-C51</f>
        <v>#REF!</v>
      </c>
    </row>
    <row r="55" spans="2:8" ht="14.25" thickBot="1">
      <c r="B55" s="298" t="s">
        <v>276</v>
      </c>
    </row>
    <row r="56" spans="2:8" ht="13.9">
      <c r="B56" s="415"/>
      <c r="C56" s="339" t="s">
        <v>137</v>
      </c>
      <c r="D56" s="339" t="s">
        <v>243</v>
      </c>
      <c r="E56" s="340" t="s">
        <v>231</v>
      </c>
      <c r="F56" s="339" t="s">
        <v>140</v>
      </c>
      <c r="G56" s="339" t="s">
        <v>140</v>
      </c>
    </row>
    <row r="57" spans="2:8" ht="13.9">
      <c r="B57" s="413" t="s">
        <v>277</v>
      </c>
      <c r="C57" s="296" t="s">
        <v>4</v>
      </c>
      <c r="D57" s="296" t="s">
        <v>127</v>
      </c>
      <c r="E57" s="291" t="s">
        <v>128</v>
      </c>
      <c r="F57" s="296" t="s">
        <v>129</v>
      </c>
      <c r="G57" s="296" t="s">
        <v>130</v>
      </c>
    </row>
    <row r="58" spans="2:8" ht="14.25" thickBot="1">
      <c r="B58" s="341"/>
      <c r="C58" s="341" t="s">
        <v>40</v>
      </c>
      <c r="D58" s="341" t="s">
        <v>40</v>
      </c>
      <c r="E58" s="342" t="s">
        <v>40</v>
      </c>
      <c r="F58" s="341" t="s">
        <v>40</v>
      </c>
      <c r="G58" s="341" t="s">
        <v>40</v>
      </c>
    </row>
    <row r="59" spans="2:8">
      <c r="B59" s="343" t="s">
        <v>278</v>
      </c>
      <c r="C59" s="306">
        <f>2336.3+10</f>
        <v>2346.3000000000002</v>
      </c>
      <c r="D59" s="306">
        <f>C71</f>
        <v>1868.4011118799999</v>
      </c>
      <c r="E59" s="293" t="e">
        <f t="shared" ref="E59:G59" si="7">D71</f>
        <v>#REF!</v>
      </c>
      <c r="F59" s="306" t="e">
        <f t="shared" si="7"/>
        <v>#REF!</v>
      </c>
      <c r="G59" s="306" t="e">
        <f t="shared" si="7"/>
        <v>#REF!</v>
      </c>
    </row>
    <row r="60" spans="2:8" ht="13.9">
      <c r="B60" s="344" t="s">
        <v>279</v>
      </c>
      <c r="C60" s="306"/>
      <c r="D60" s="306"/>
      <c r="E60" s="293"/>
      <c r="F60" s="306"/>
      <c r="G60" s="306"/>
    </row>
    <row r="61" spans="2:8">
      <c r="B61" s="343" t="s">
        <v>280</v>
      </c>
      <c r="C61" s="306">
        <v>-626.68923074000008</v>
      </c>
      <c r="D61" s="306">
        <f t="shared" ref="D61:G62" si="8">D103-C103</f>
        <v>-871.02387683999996</v>
      </c>
      <c r="E61" s="293">
        <f t="shared" si="8"/>
        <v>46.80690558333302</v>
      </c>
      <c r="F61" s="306">
        <f t="shared" si="8"/>
        <v>-21.600000000000023</v>
      </c>
      <c r="G61" s="306">
        <f t="shared" si="8"/>
        <v>-5</v>
      </c>
      <c r="H61" s="351" t="s">
        <v>986</v>
      </c>
    </row>
    <row r="62" spans="2:8">
      <c r="B62" s="343" t="s">
        <v>281</v>
      </c>
      <c r="C62" s="306">
        <v>63.707396009999997</v>
      </c>
      <c r="D62" s="306">
        <f t="shared" si="8"/>
        <v>-21.500396010000003</v>
      </c>
      <c r="E62" s="293">
        <f t="shared" si="8"/>
        <v>-10</v>
      </c>
      <c r="F62" s="306">
        <f t="shared" si="8"/>
        <v>-5</v>
      </c>
      <c r="G62" s="306">
        <f t="shared" si="8"/>
        <v>0</v>
      </c>
      <c r="H62" s="351" t="s">
        <v>986</v>
      </c>
    </row>
    <row r="63" spans="2:8">
      <c r="B63" s="343" t="s">
        <v>282</v>
      </c>
      <c r="C63" s="306">
        <v>-17.742068579999998</v>
      </c>
      <c r="D63" s="306" t="e">
        <f>D177</f>
        <v>#REF!</v>
      </c>
      <c r="E63" s="293" t="e">
        <f>E177</f>
        <v>#REF!</v>
      </c>
      <c r="F63" s="306" t="e">
        <f>F177</f>
        <v>#REF!</v>
      </c>
      <c r="G63" s="306" t="e">
        <f>G177</f>
        <v>#REF!</v>
      </c>
      <c r="H63" s="351" t="s">
        <v>986</v>
      </c>
    </row>
    <row r="64" spans="2:8">
      <c r="B64" s="343" t="s">
        <v>666</v>
      </c>
      <c r="C64" s="306">
        <v>216.9</v>
      </c>
      <c r="D64" s="306">
        <f>D106-C106</f>
        <v>142.47100000000006</v>
      </c>
      <c r="E64" s="293">
        <f>E106-D106</f>
        <v>-101.5</v>
      </c>
      <c r="F64" s="306">
        <f>F106-E106</f>
        <v>-28.300000000000011</v>
      </c>
      <c r="G64" s="306">
        <f>G106-F106</f>
        <v>-32.945400000000006</v>
      </c>
      <c r="H64" s="351" t="s">
        <v>986</v>
      </c>
    </row>
    <row r="65" spans="2:9">
      <c r="B65" s="343" t="s">
        <v>283</v>
      </c>
      <c r="C65" s="306">
        <v>-2.524553120000097</v>
      </c>
      <c r="D65" s="306">
        <v>115.65942289514496</v>
      </c>
      <c r="E65" s="293">
        <v>-28.520267955235632</v>
      </c>
      <c r="F65" s="306">
        <v>-15.781070222916707</v>
      </c>
      <c r="G65" s="306">
        <v>2.6091883726249336</v>
      </c>
      <c r="H65" s="351" t="s">
        <v>428</v>
      </c>
    </row>
    <row r="66" spans="2:9">
      <c r="B66" s="343" t="s">
        <v>284</v>
      </c>
      <c r="C66" s="306">
        <v>-7.7477066699999995</v>
      </c>
      <c r="D66" s="306">
        <f t="shared" ref="D66:F68" si="9">D108-C108</f>
        <v>-10.100000000000001</v>
      </c>
      <c r="E66" s="293">
        <f t="shared" si="9"/>
        <v>-5.8999999999999986</v>
      </c>
      <c r="F66" s="306">
        <f t="shared" si="9"/>
        <v>-2.5999999999999996</v>
      </c>
      <c r="G66" s="306">
        <f>G108-F108</f>
        <v>-2.4000000000000004</v>
      </c>
      <c r="H66" s="351" t="s">
        <v>428</v>
      </c>
    </row>
    <row r="67" spans="2:9">
      <c r="B67" s="343" t="s">
        <v>292</v>
      </c>
      <c r="C67" s="306">
        <v>-86.867999999999995</v>
      </c>
      <c r="D67" s="306">
        <f t="shared" si="9"/>
        <v>-101.50822719999992</v>
      </c>
      <c r="E67" s="293">
        <f t="shared" si="9"/>
        <v>-33.25</v>
      </c>
      <c r="F67" s="306">
        <f t="shared" si="9"/>
        <v>12.035999999999998</v>
      </c>
      <c r="G67" s="306">
        <f>G109-F109</f>
        <v>7.2307200000000051</v>
      </c>
      <c r="H67" s="351" t="s">
        <v>986</v>
      </c>
    </row>
    <row r="68" spans="2:9">
      <c r="B68" s="295" t="s">
        <v>90</v>
      </c>
      <c r="C68" s="306">
        <v>-17.275635300000001</v>
      </c>
      <c r="D68" s="306">
        <f t="shared" si="9"/>
        <v>-30</v>
      </c>
      <c r="E68" s="293">
        <f t="shared" si="9"/>
        <v>-27.826630700000003</v>
      </c>
      <c r="F68" s="306">
        <f t="shared" si="9"/>
        <v>0</v>
      </c>
      <c r="G68" s="306">
        <f>G110-F110</f>
        <v>0</v>
      </c>
      <c r="H68" s="351" t="s">
        <v>986</v>
      </c>
    </row>
    <row r="69" spans="2:9">
      <c r="B69" s="295" t="s">
        <v>285</v>
      </c>
      <c r="C69" s="306">
        <v>0.34091028000000007</v>
      </c>
      <c r="D69" s="306">
        <v>-0.20091027999990274</v>
      </c>
      <c r="E69" s="293">
        <v>-0.23</v>
      </c>
      <c r="F69" s="306">
        <v>-0.2</v>
      </c>
      <c r="G69" s="306">
        <v>-0.44999999999999996</v>
      </c>
      <c r="H69" s="351" t="s">
        <v>428</v>
      </c>
    </row>
    <row r="70" spans="2:9" ht="13.9" thickBot="1">
      <c r="B70" s="345" t="s">
        <v>286</v>
      </c>
      <c r="C70" s="346">
        <v>0</v>
      </c>
      <c r="D70" s="346">
        <v>0</v>
      </c>
      <c r="E70" s="347">
        <v>0</v>
      </c>
      <c r="F70" s="346">
        <v>0</v>
      </c>
      <c r="G70" s="346">
        <v>0</v>
      </c>
      <c r="H70" s="351" t="s">
        <v>428</v>
      </c>
    </row>
    <row r="71" spans="2:9" ht="14.25" thickBot="1">
      <c r="B71" s="348" t="s">
        <v>287</v>
      </c>
      <c r="C71" s="349">
        <f>SUM(C59:C70)</f>
        <v>1868.4011118799999</v>
      </c>
      <c r="D71" s="349" t="e">
        <f>SUM(D59:D70)</f>
        <v>#REF!</v>
      </c>
      <c r="E71" s="304" t="e">
        <f>SUM(E59:E70)</f>
        <v>#REF!</v>
      </c>
      <c r="F71" s="349" t="e">
        <f>SUM(F59:F70)</f>
        <v>#REF!</v>
      </c>
      <c r="G71" s="349" t="e">
        <f>SUM(G59:G70)</f>
        <v>#REF!</v>
      </c>
      <c r="H71" s="296" t="e">
        <f>G71-E71</f>
        <v>#REF!</v>
      </c>
      <c r="I71" s="350" t="s">
        <v>641</v>
      </c>
    </row>
    <row r="72" spans="2:9" ht="13.9">
      <c r="B72" s="334" t="s">
        <v>288</v>
      </c>
      <c r="D72" s="390">
        <f>D59-C71</f>
        <v>0</v>
      </c>
      <c r="E72" s="390" t="e">
        <f>E59-D71</f>
        <v>#REF!</v>
      </c>
      <c r="F72" s="390" t="e">
        <f>F59-E71</f>
        <v>#REF!</v>
      </c>
      <c r="G72" s="390" t="e">
        <f>G59-F71</f>
        <v>#REF!</v>
      </c>
    </row>
    <row r="73" spans="2:9" ht="13.9">
      <c r="B73" s="334" t="s">
        <v>289</v>
      </c>
      <c r="D73" s="390">
        <f>D65+D70-SUM(D28)</f>
        <v>-1.0485504731150286E-7</v>
      </c>
      <c r="E73" s="390">
        <f>E65+E70-SUM(E28)</f>
        <v>0</v>
      </c>
      <c r="F73" s="390">
        <f>F65+F70-SUM(F28)</f>
        <v>0</v>
      </c>
      <c r="G73" s="390">
        <f>G65+G70-SUM(G28)</f>
        <v>0</v>
      </c>
    </row>
    <row r="74" spans="2:9" ht="13.9">
      <c r="B74" s="334"/>
      <c r="D74" s="351">
        <v>65.8</v>
      </c>
      <c r="E74" s="351" t="s">
        <v>714</v>
      </c>
      <c r="F74" s="390"/>
      <c r="G74" s="390"/>
    </row>
    <row r="75" spans="2:9" ht="13.9">
      <c r="B75" s="334"/>
      <c r="D75" s="351">
        <v>10</v>
      </c>
      <c r="E75" s="351" t="s">
        <v>671</v>
      </c>
      <c r="F75" s="390"/>
      <c r="G75" s="390"/>
    </row>
    <row r="76" spans="2:9" ht="13.9">
      <c r="B76" s="334"/>
      <c r="D76" s="351">
        <v>17.600000000000001</v>
      </c>
      <c r="E76" s="351" t="s">
        <v>673</v>
      </c>
      <c r="F76" s="390"/>
      <c r="G76" s="390"/>
    </row>
    <row r="77" spans="2:9" ht="13.9">
      <c r="B77" s="334"/>
      <c r="D77" s="351">
        <v>10.9</v>
      </c>
      <c r="E77" s="351" t="s">
        <v>672</v>
      </c>
      <c r="F77" s="390"/>
      <c r="G77" s="390"/>
    </row>
    <row r="78" spans="2:9" ht="13.9">
      <c r="B78" s="334"/>
      <c r="D78" s="351">
        <v>5.3</v>
      </c>
      <c r="E78" s="351" t="s">
        <v>674</v>
      </c>
      <c r="F78" s="390"/>
      <c r="G78" s="390"/>
    </row>
    <row r="79" spans="2:9" ht="13.9">
      <c r="B79" s="334"/>
      <c r="F79" s="390"/>
      <c r="G79" s="390"/>
    </row>
    <row r="80" spans="2:9" ht="13.9">
      <c r="B80" s="334" t="s">
        <v>678</v>
      </c>
      <c r="D80" s="390">
        <f t="shared" ref="D80:G89" si="10">ROUND(D61-D103+C103,6)</f>
        <v>0</v>
      </c>
      <c r="E80" s="390">
        <f t="shared" si="10"/>
        <v>0</v>
      </c>
      <c r="F80" s="390">
        <f t="shared" si="10"/>
        <v>0</v>
      </c>
      <c r="G80" s="390">
        <f t="shared" si="10"/>
        <v>0</v>
      </c>
    </row>
    <row r="81" spans="2:10" ht="13.9">
      <c r="B81" s="334" t="s">
        <v>679</v>
      </c>
      <c r="D81" s="390">
        <f t="shared" si="10"/>
        <v>0</v>
      </c>
      <c r="E81" s="390">
        <f t="shared" si="10"/>
        <v>0</v>
      </c>
      <c r="F81" s="390">
        <f t="shared" si="10"/>
        <v>0</v>
      </c>
      <c r="G81" s="390">
        <f t="shared" si="10"/>
        <v>0</v>
      </c>
    </row>
    <row r="82" spans="2:10" ht="13.9">
      <c r="B82" s="334" t="s">
        <v>680</v>
      </c>
      <c r="D82" s="390" t="e">
        <f t="shared" si="10"/>
        <v>#REF!</v>
      </c>
      <c r="E82" s="390" t="e">
        <f t="shared" si="10"/>
        <v>#REF!</v>
      </c>
      <c r="F82" s="390" t="e">
        <f t="shared" si="10"/>
        <v>#REF!</v>
      </c>
      <c r="G82" s="390" t="e">
        <f t="shared" si="10"/>
        <v>#REF!</v>
      </c>
    </row>
    <row r="83" spans="2:10" ht="13.9">
      <c r="B83" s="334" t="s">
        <v>681</v>
      </c>
      <c r="D83" s="390">
        <f t="shared" si="10"/>
        <v>0</v>
      </c>
      <c r="E83" s="390">
        <f t="shared" si="10"/>
        <v>0</v>
      </c>
      <c r="F83" s="390">
        <f t="shared" si="10"/>
        <v>0</v>
      </c>
      <c r="G83" s="390">
        <f t="shared" si="10"/>
        <v>0</v>
      </c>
    </row>
    <row r="84" spans="2:10" ht="13.9">
      <c r="B84" s="334" t="s">
        <v>682</v>
      </c>
      <c r="D84" s="390">
        <f t="shared" si="10"/>
        <v>0</v>
      </c>
      <c r="E84" s="390">
        <f t="shared" si="10"/>
        <v>0</v>
      </c>
      <c r="F84" s="390">
        <f t="shared" si="10"/>
        <v>0</v>
      </c>
      <c r="G84" s="390">
        <f t="shared" si="10"/>
        <v>0</v>
      </c>
    </row>
    <row r="85" spans="2:10" ht="13.9">
      <c r="B85" s="334" t="s">
        <v>683</v>
      </c>
      <c r="D85" s="390">
        <f t="shared" si="10"/>
        <v>0</v>
      </c>
      <c r="E85" s="390">
        <f t="shared" si="10"/>
        <v>0</v>
      </c>
      <c r="F85" s="390">
        <f t="shared" si="10"/>
        <v>0</v>
      </c>
      <c r="G85" s="390">
        <f t="shared" si="10"/>
        <v>0</v>
      </c>
    </row>
    <row r="86" spans="2:10" ht="13.9">
      <c r="B86" s="334" t="s">
        <v>684</v>
      </c>
      <c r="D86" s="390">
        <f t="shared" si="10"/>
        <v>0</v>
      </c>
      <c r="E86" s="390">
        <f t="shared" si="10"/>
        <v>0</v>
      </c>
      <c r="F86" s="390">
        <f t="shared" si="10"/>
        <v>0</v>
      </c>
      <c r="G86" s="390">
        <f t="shared" si="10"/>
        <v>0</v>
      </c>
    </row>
    <row r="87" spans="2:10" ht="13.9">
      <c r="B87" s="334" t="s">
        <v>687</v>
      </c>
      <c r="D87" s="390">
        <f t="shared" si="10"/>
        <v>0</v>
      </c>
      <c r="E87" s="390">
        <f t="shared" si="10"/>
        <v>0</v>
      </c>
      <c r="F87" s="390">
        <f t="shared" si="10"/>
        <v>0</v>
      </c>
      <c r="G87" s="390">
        <f t="shared" si="10"/>
        <v>0</v>
      </c>
      <c r="I87" s="351" t="s">
        <v>727</v>
      </c>
    </row>
    <row r="88" spans="2:10" ht="13.9">
      <c r="B88" s="334" t="s">
        <v>685</v>
      </c>
      <c r="D88" s="390">
        <f t="shared" si="10"/>
        <v>0</v>
      </c>
      <c r="E88" s="390">
        <f t="shared" si="10"/>
        <v>0</v>
      </c>
      <c r="F88" s="390">
        <f t="shared" si="10"/>
        <v>0</v>
      </c>
      <c r="G88" s="390">
        <f t="shared" si="10"/>
        <v>0</v>
      </c>
    </row>
    <row r="89" spans="2:10" ht="13.9">
      <c r="B89" s="334" t="s">
        <v>686</v>
      </c>
      <c r="D89" s="390">
        <f t="shared" si="10"/>
        <v>0</v>
      </c>
      <c r="E89" s="390">
        <f t="shared" si="10"/>
        <v>0</v>
      </c>
      <c r="F89" s="390">
        <f t="shared" si="10"/>
        <v>0</v>
      </c>
      <c r="G89" s="390">
        <f t="shared" si="10"/>
        <v>0</v>
      </c>
      <c r="I89" s="351" t="s">
        <v>728</v>
      </c>
    </row>
    <row r="90" spans="2:10" ht="13.9">
      <c r="B90" s="334"/>
      <c r="D90" s="390"/>
      <c r="E90" s="390"/>
      <c r="F90" s="390"/>
      <c r="G90" s="390"/>
    </row>
    <row r="92" spans="2:10">
      <c r="B92" s="351" t="s">
        <v>705</v>
      </c>
      <c r="D92" s="351" t="e">
        <f>#REF!</f>
        <v>#REF!</v>
      </c>
      <c r="E92" s="351" t="e">
        <f>#REF!</f>
        <v>#REF!</v>
      </c>
      <c r="F92" s="351" t="e">
        <f>#REF!</f>
        <v>#REF!</v>
      </c>
      <c r="G92" s="351" t="e">
        <f>#REF!</f>
        <v>#REF!</v>
      </c>
      <c r="J92" s="351" t="s">
        <v>729</v>
      </c>
    </row>
    <row r="93" spans="2:10">
      <c r="B93" s="351" t="s">
        <v>706</v>
      </c>
      <c r="D93" s="351" t="e">
        <f>#REF!</f>
        <v>#REF!</v>
      </c>
      <c r="E93" s="351" t="e">
        <f>#REF!</f>
        <v>#REF!</v>
      </c>
      <c r="F93" s="351" t="e">
        <f>#REF!</f>
        <v>#REF!</v>
      </c>
      <c r="G93" s="351" t="e">
        <f>#REF!</f>
        <v>#REF!</v>
      </c>
      <c r="I93" s="351" t="s">
        <v>730</v>
      </c>
      <c r="J93" s="351">
        <v>17964</v>
      </c>
    </row>
    <row r="94" spans="2:10">
      <c r="B94" s="351" t="s">
        <v>707</v>
      </c>
      <c r="D94" s="351" t="e">
        <f>-SUM(D92:D93)+D63</f>
        <v>#REF!</v>
      </c>
      <c r="E94" s="351" t="e">
        <f>-SUM(E92:E93)+E63</f>
        <v>#REF!</v>
      </c>
      <c r="F94" s="351" t="e">
        <f>-SUM(F92:F93)+F63</f>
        <v>#REF!</v>
      </c>
      <c r="G94" s="351" t="e">
        <f>-SUM(G92:G93)+G63</f>
        <v>#REF!</v>
      </c>
      <c r="I94" s="351" t="s">
        <v>235</v>
      </c>
      <c r="J94" s="351">
        <v>-1377</v>
      </c>
    </row>
    <row r="95" spans="2:10" ht="13.9">
      <c r="B95" s="351" t="s">
        <v>708</v>
      </c>
      <c r="D95" s="373" t="e">
        <f>SUM(D92:D94)</f>
        <v>#REF!</v>
      </c>
      <c r="E95" s="373" t="e">
        <f>SUM(E92:E94)</f>
        <v>#REF!</v>
      </c>
      <c r="F95" s="373" t="e">
        <f>SUM(F92:F94)</f>
        <v>#REF!</v>
      </c>
      <c r="G95" s="373" t="e">
        <f>SUM(G92:G94)</f>
        <v>#REF!</v>
      </c>
      <c r="I95" s="351" t="s">
        <v>731</v>
      </c>
      <c r="J95" s="351">
        <v>-5100</v>
      </c>
    </row>
    <row r="96" spans="2:10">
      <c r="B96" s="351" t="s">
        <v>704</v>
      </c>
      <c r="D96" s="351">
        <v>-3.786999999999999</v>
      </c>
      <c r="E96" s="351">
        <v>1</v>
      </c>
      <c r="F96" s="351">
        <v>-0.90000000000000036</v>
      </c>
      <c r="G96" s="351">
        <v>0</v>
      </c>
      <c r="I96" s="351" t="s">
        <v>732</v>
      </c>
      <c r="J96" s="351">
        <v>11487</v>
      </c>
    </row>
    <row r="97" spans="2:8" ht="13.9">
      <c r="B97" s="334" t="s">
        <v>432</v>
      </c>
      <c r="D97" s="351" t="e">
        <f>D96-D95</f>
        <v>#REF!</v>
      </c>
      <c r="E97" s="351" t="e">
        <f>E96-E95</f>
        <v>#REF!</v>
      </c>
      <c r="F97" s="351" t="e">
        <f>F96-F95</f>
        <v>#REF!</v>
      </c>
      <c r="G97" s="351" t="e">
        <f>G96-G95</f>
        <v>#REF!</v>
      </c>
      <c r="H97" s="351" t="s">
        <v>715</v>
      </c>
    </row>
    <row r="98" spans="2:8" ht="13.9">
      <c r="B98" s="334"/>
      <c r="D98" s="390"/>
      <c r="E98" s="390"/>
      <c r="F98" s="390"/>
      <c r="G98" s="390"/>
    </row>
    <row r="99" spans="2:8" ht="14.25" thickBot="1">
      <c r="B99" s="298" t="s">
        <v>290</v>
      </c>
      <c r="C99" s="391"/>
      <c r="D99" s="391"/>
      <c r="E99" s="391"/>
      <c r="F99" s="391"/>
      <c r="G99" s="391"/>
    </row>
    <row r="100" spans="2:8" ht="13.9">
      <c r="B100" s="339"/>
      <c r="C100" s="339" t="s">
        <v>137</v>
      </c>
      <c r="D100" s="339" t="s">
        <v>243</v>
      </c>
      <c r="E100" s="340" t="s">
        <v>231</v>
      </c>
      <c r="F100" s="339" t="s">
        <v>140</v>
      </c>
      <c r="G100" s="339" t="s">
        <v>140</v>
      </c>
    </row>
    <row r="101" spans="2:8" ht="13.9">
      <c r="B101" s="413" t="s">
        <v>291</v>
      </c>
      <c r="C101" s="296" t="s">
        <v>4</v>
      </c>
      <c r="D101" s="296" t="s">
        <v>127</v>
      </c>
      <c r="E101" s="291" t="s">
        <v>128</v>
      </c>
      <c r="F101" s="296" t="s">
        <v>129</v>
      </c>
      <c r="G101" s="296" t="s">
        <v>130</v>
      </c>
    </row>
    <row r="102" spans="2:8" ht="14.25" thickBot="1">
      <c r="B102" s="341"/>
      <c r="C102" s="341" t="s">
        <v>40</v>
      </c>
      <c r="D102" s="341" t="s">
        <v>40</v>
      </c>
      <c r="E102" s="342" t="s">
        <v>40</v>
      </c>
      <c r="F102" s="341" t="s">
        <v>40</v>
      </c>
      <c r="G102" s="341" t="s">
        <v>40</v>
      </c>
    </row>
    <row r="103" spans="2:8">
      <c r="B103" s="343" t="s">
        <v>280</v>
      </c>
      <c r="C103" s="306">
        <v>1007.32925972</v>
      </c>
      <c r="D103" s="306">
        <f>141.74188012-5.5+0.0635027600000013</f>
        <v>136.30538288</v>
      </c>
      <c r="E103" s="293">
        <f>188.548785703333-5.5+0.0635027600000013</f>
        <v>183.11228846333302</v>
      </c>
      <c r="F103" s="306">
        <f>166.948785703333-5.5+0.0635027600000013</f>
        <v>161.51228846333299</v>
      </c>
      <c r="G103" s="306">
        <f>161.948785703333-5.5+0.0635027600000013</f>
        <v>156.51228846333299</v>
      </c>
      <c r="H103" s="351" t="s">
        <v>986</v>
      </c>
    </row>
    <row r="104" spans="2:8">
      <c r="B104" s="343" t="s">
        <v>281</v>
      </c>
      <c r="C104" s="306">
        <v>63.707396009999997</v>
      </c>
      <c r="D104" s="306">
        <v>42.206999999999994</v>
      </c>
      <c r="E104" s="293">
        <v>32.206999999999994</v>
      </c>
      <c r="F104" s="306">
        <v>27.206999999999994</v>
      </c>
      <c r="G104" s="306">
        <v>27.206999999999994</v>
      </c>
      <c r="H104" s="351" t="s">
        <v>986</v>
      </c>
    </row>
    <row r="105" spans="2:8">
      <c r="B105" s="343" t="s">
        <v>282</v>
      </c>
      <c r="C105" s="306">
        <v>17.963498760000004</v>
      </c>
      <c r="D105" s="306" t="e">
        <f>C105+D63</f>
        <v>#REF!</v>
      </c>
      <c r="E105" s="293" t="e">
        <f>D105+E63</f>
        <v>#REF!</v>
      </c>
      <c r="F105" s="306" t="e">
        <f>E105+F63</f>
        <v>#REF!</v>
      </c>
      <c r="G105" s="306" t="e">
        <f>F105+G63</f>
        <v>#REF!</v>
      </c>
      <c r="H105" s="351" t="s">
        <v>986</v>
      </c>
    </row>
    <row r="106" spans="2:8">
      <c r="B106" s="343" t="s">
        <v>666</v>
      </c>
      <c r="C106" s="306">
        <v>216.87439999999998</v>
      </c>
      <c r="D106" s="306">
        <v>359.34540000000004</v>
      </c>
      <c r="E106" s="293">
        <v>257.84540000000004</v>
      </c>
      <c r="F106" s="306">
        <v>229.54540000000003</v>
      </c>
      <c r="G106" s="306">
        <v>196.60000000000002</v>
      </c>
      <c r="H106" s="351" t="s">
        <v>986</v>
      </c>
    </row>
    <row r="107" spans="2:8">
      <c r="B107" s="343" t="s">
        <v>283</v>
      </c>
      <c r="C107" s="306">
        <v>300.50918920999999</v>
      </c>
      <c r="D107" s="306">
        <v>416.16861210514492</v>
      </c>
      <c r="E107" s="293">
        <v>387.64834414990912</v>
      </c>
      <c r="F107" s="306">
        <v>371.86727392699254</v>
      </c>
      <c r="G107" s="306">
        <v>374.47646229961742</v>
      </c>
      <c r="H107" s="351" t="s">
        <v>428</v>
      </c>
    </row>
    <row r="108" spans="2:8">
      <c r="B108" s="343" t="s">
        <v>284</v>
      </c>
      <c r="C108" s="306">
        <v>34</v>
      </c>
      <c r="D108" s="306">
        <v>23.9</v>
      </c>
      <c r="E108" s="293">
        <v>18</v>
      </c>
      <c r="F108" s="306">
        <v>15.4</v>
      </c>
      <c r="G108" s="306">
        <v>13</v>
      </c>
      <c r="H108" s="351" t="s">
        <v>428</v>
      </c>
    </row>
    <row r="109" spans="2:8">
      <c r="B109" s="343" t="s">
        <v>292</v>
      </c>
      <c r="C109" s="306">
        <v>158.56422719999992</v>
      </c>
      <c r="D109" s="306">
        <v>57.055999999999997</v>
      </c>
      <c r="E109" s="293">
        <v>23.806000000000001</v>
      </c>
      <c r="F109" s="306">
        <v>35.841999999999999</v>
      </c>
      <c r="G109" s="306">
        <v>43.072720000000004</v>
      </c>
      <c r="H109" s="351" t="s">
        <v>986</v>
      </c>
    </row>
    <row r="110" spans="2:8">
      <c r="B110" s="295" t="s">
        <v>90</v>
      </c>
      <c r="C110" s="306">
        <v>57.826630700000003</v>
      </c>
      <c r="D110" s="306">
        <f>C110-30</f>
        <v>27.826630700000003</v>
      </c>
      <c r="E110" s="293">
        <v>0</v>
      </c>
      <c r="F110" s="306">
        <v>0</v>
      </c>
      <c r="G110" s="306">
        <v>0</v>
      </c>
      <c r="H110" s="351" t="s">
        <v>986</v>
      </c>
    </row>
    <row r="111" spans="2:8">
      <c r="B111" s="295" t="s">
        <v>285</v>
      </c>
      <c r="C111" s="306">
        <v>1.6009102800000001</v>
      </c>
      <c r="D111" s="306">
        <v>1.4000000000000001</v>
      </c>
      <c r="E111" s="293">
        <v>1.1700000000000002</v>
      </c>
      <c r="F111" s="306">
        <v>0.9700000000000002</v>
      </c>
      <c r="G111" s="306">
        <v>0.52000000000000024</v>
      </c>
      <c r="H111" s="351" t="s">
        <v>428</v>
      </c>
    </row>
    <row r="112" spans="2:8" ht="13.9" thickBot="1">
      <c r="B112" s="345" t="s">
        <v>286</v>
      </c>
      <c r="C112" s="352">
        <v>10.025600000000168</v>
      </c>
      <c r="D112" s="352">
        <v>10.025600000000168</v>
      </c>
      <c r="E112" s="353">
        <v>10.025600000000168</v>
      </c>
      <c r="F112" s="352">
        <v>10.02559999999994</v>
      </c>
      <c r="G112" s="352">
        <v>10.025600000000054</v>
      </c>
      <c r="H112" s="351" t="s">
        <v>428</v>
      </c>
    </row>
    <row r="113" spans="2:12" ht="14.25" thickBot="1">
      <c r="B113" s="348" t="s">
        <v>293</v>
      </c>
      <c r="C113" s="354">
        <f>SUM(C103:C112)</f>
        <v>1868.4011118799999</v>
      </c>
      <c r="D113" s="354" t="e">
        <f>SUM(D103:D112)</f>
        <v>#REF!</v>
      </c>
      <c r="E113" s="355" t="e">
        <f>SUM(E103:E112)</f>
        <v>#REF!</v>
      </c>
      <c r="F113" s="354" t="e">
        <f>SUM(F103:F112)</f>
        <v>#REF!</v>
      </c>
      <c r="G113" s="354" t="e">
        <f>SUM(G103:G112)</f>
        <v>#REF!</v>
      </c>
    </row>
    <row r="114" spans="2:12" ht="13.9">
      <c r="B114" s="334" t="s">
        <v>294</v>
      </c>
      <c r="C114" s="390">
        <f>C113-C71</f>
        <v>0</v>
      </c>
      <c r="D114" s="390" t="e">
        <f>D113-D71</f>
        <v>#REF!</v>
      </c>
      <c r="E114" s="390" t="e">
        <f>E113-E71</f>
        <v>#REF!</v>
      </c>
      <c r="F114" s="390" t="e">
        <f>F113-F71</f>
        <v>#REF!</v>
      </c>
      <c r="G114" s="390" t="e">
        <f>G113-G71</f>
        <v>#REF!</v>
      </c>
    </row>
    <row r="115" spans="2:12">
      <c r="B115" s="356"/>
    </row>
    <row r="116" spans="2:12" ht="14.25" thickBot="1">
      <c r="B116" s="298" t="s">
        <v>295</v>
      </c>
    </row>
    <row r="117" spans="2:12" ht="27.75">
      <c r="B117" s="414" t="s">
        <v>296</v>
      </c>
      <c r="C117" s="357" t="s">
        <v>138</v>
      </c>
      <c r="D117" s="357" t="s">
        <v>139</v>
      </c>
      <c r="E117" s="358" t="s">
        <v>231</v>
      </c>
      <c r="F117" s="357" t="s">
        <v>140</v>
      </c>
      <c r="G117" s="357" t="s">
        <v>140</v>
      </c>
    </row>
    <row r="118" spans="2:12" ht="13.9">
      <c r="B118" s="296"/>
      <c r="C118" s="296" t="s">
        <v>127</v>
      </c>
      <c r="D118" s="296" t="s">
        <v>127</v>
      </c>
      <c r="E118" s="291" t="s">
        <v>128</v>
      </c>
      <c r="F118" s="296" t="s">
        <v>129</v>
      </c>
      <c r="G118" s="296" t="s">
        <v>130</v>
      </c>
    </row>
    <row r="119" spans="2:12" ht="14.25" thickBot="1">
      <c r="B119" s="303"/>
      <c r="C119" s="303" t="s">
        <v>40</v>
      </c>
      <c r="D119" s="303" t="s">
        <v>40</v>
      </c>
      <c r="E119" s="304" t="s">
        <v>40</v>
      </c>
      <c r="F119" s="303" t="s">
        <v>40</v>
      </c>
      <c r="G119" s="303" t="s">
        <v>40</v>
      </c>
    </row>
    <row r="120" spans="2:12">
      <c r="B120" s="343" t="s">
        <v>297</v>
      </c>
      <c r="C120" s="306">
        <v>82.8</v>
      </c>
      <c r="D120" s="306">
        <v>82.8</v>
      </c>
      <c r="E120" s="293">
        <v>85.9</v>
      </c>
      <c r="F120" s="306">
        <v>85.6</v>
      </c>
      <c r="G120" s="306">
        <v>87.2</v>
      </c>
    </row>
    <row r="121" spans="2:12">
      <c r="B121" s="343" t="s">
        <v>298</v>
      </c>
      <c r="C121" s="306">
        <v>8.1949999299999998</v>
      </c>
      <c r="D121" s="306">
        <v>8.1949949999999987</v>
      </c>
      <c r="E121" s="293">
        <v>9.8000000000000007</v>
      </c>
      <c r="F121" s="306">
        <v>8.6999999999999993</v>
      </c>
      <c r="G121" s="306">
        <v>8.1999999999999993</v>
      </c>
    </row>
    <row r="122" spans="2:12">
      <c r="B122" s="343" t="s">
        <v>299</v>
      </c>
      <c r="C122" s="306">
        <v>511.59999999999997</v>
      </c>
      <c r="D122" s="306">
        <v>508.4</v>
      </c>
      <c r="E122" s="293">
        <v>598.49999999999989</v>
      </c>
      <c r="F122" s="306">
        <v>532.6</v>
      </c>
      <c r="G122" s="306">
        <v>498.00000000000017</v>
      </c>
    </row>
    <row r="123" spans="2:12" ht="13.9">
      <c r="B123" s="344" t="s">
        <v>300</v>
      </c>
      <c r="C123" s="306"/>
      <c r="D123" s="306"/>
      <c r="E123" s="293"/>
      <c r="F123" s="306"/>
      <c r="G123" s="306"/>
    </row>
    <row r="124" spans="2:12">
      <c r="B124" s="343" t="s">
        <v>301</v>
      </c>
      <c r="C124" s="306">
        <v>130</v>
      </c>
      <c r="D124" s="306">
        <v>130</v>
      </c>
      <c r="E124" s="293">
        <v>130</v>
      </c>
      <c r="F124" s="306">
        <v>130</v>
      </c>
      <c r="G124" s="306">
        <v>130</v>
      </c>
    </row>
    <row r="125" spans="2:12">
      <c r="B125" s="343" t="s">
        <v>302</v>
      </c>
      <c r="C125" s="306">
        <f t="shared" ref="C125:G127" si="11">C19</f>
        <v>20</v>
      </c>
      <c r="D125" s="306">
        <f t="shared" si="11"/>
        <v>20</v>
      </c>
      <c r="E125" s="293">
        <f t="shared" si="11"/>
        <v>20</v>
      </c>
      <c r="F125" s="306">
        <f t="shared" si="11"/>
        <v>20</v>
      </c>
      <c r="G125" s="306">
        <f t="shared" si="11"/>
        <v>20</v>
      </c>
    </row>
    <row r="126" spans="2:12" ht="13.9" thickBot="1">
      <c r="B126" s="359" t="s">
        <v>303</v>
      </c>
      <c r="C126" s="306">
        <f t="shared" si="11"/>
        <v>3.4</v>
      </c>
      <c r="D126" s="306">
        <f t="shared" si="11"/>
        <v>3.32</v>
      </c>
      <c r="E126" s="293">
        <f t="shared" si="11"/>
        <v>1.8</v>
      </c>
      <c r="F126" s="306">
        <f t="shared" si="11"/>
        <v>1.6</v>
      </c>
      <c r="G126" s="306">
        <f t="shared" si="11"/>
        <v>1.5</v>
      </c>
    </row>
    <row r="127" spans="2:12" ht="29.25" thickBot="1">
      <c r="B127" s="345" t="s">
        <v>753</v>
      </c>
      <c r="C127" s="352">
        <f t="shared" si="11"/>
        <v>0</v>
      </c>
      <c r="D127" s="352">
        <f t="shared" si="11"/>
        <v>0</v>
      </c>
      <c r="E127" s="353">
        <f t="shared" si="11"/>
        <v>11.8</v>
      </c>
      <c r="F127" s="352">
        <f t="shared" si="11"/>
        <v>11.8</v>
      </c>
      <c r="G127" s="352">
        <f t="shared" si="11"/>
        <v>11.8</v>
      </c>
      <c r="K127" s="351" t="s">
        <v>669</v>
      </c>
      <c r="L127" s="351" t="s">
        <v>670</v>
      </c>
    </row>
    <row r="128" spans="2:12" ht="14.25" thickBot="1">
      <c r="B128" s="360" t="s">
        <v>304</v>
      </c>
      <c r="C128" s="354">
        <f>SUM(C120:C127)</f>
        <v>755.99499992999995</v>
      </c>
      <c r="D128" s="354">
        <f>SUM(D120:D127)</f>
        <v>752.71499500000004</v>
      </c>
      <c r="E128" s="355">
        <f>SUM(E120:E127)</f>
        <v>857.79999999999984</v>
      </c>
      <c r="F128" s="354">
        <f>SUM(F120:F127)</f>
        <v>790.3</v>
      </c>
      <c r="G128" s="354">
        <f>SUM(G120:G127)</f>
        <v>756.70000000000016</v>
      </c>
      <c r="H128" s="296">
        <f>E128-C128</f>
        <v>101.80500006999989</v>
      </c>
      <c r="I128" s="294" t="s">
        <v>640</v>
      </c>
      <c r="K128" s="351">
        <f>F128-E128</f>
        <v>-67.499999999999886</v>
      </c>
      <c r="L128" s="351">
        <f>G128-F128</f>
        <v>-33.599999999999795</v>
      </c>
    </row>
    <row r="129" spans="2:9">
      <c r="B129" s="343" t="s">
        <v>305</v>
      </c>
      <c r="C129" s="306">
        <v>-33.135999929999912</v>
      </c>
      <c r="D129" s="306">
        <v>-33.035994999999957</v>
      </c>
      <c r="E129" s="293">
        <v>-66.099999999999682</v>
      </c>
      <c r="F129" s="306">
        <v>-30</v>
      </c>
      <c r="G129" s="306">
        <v>-31.799999999999955</v>
      </c>
    </row>
    <row r="130" spans="2:9">
      <c r="B130" s="343" t="s">
        <v>306</v>
      </c>
      <c r="C130" s="306">
        <v>-1.6</v>
      </c>
      <c r="D130" s="306">
        <v>-1.6</v>
      </c>
      <c r="E130" s="293">
        <v>-1.6</v>
      </c>
      <c r="F130" s="306">
        <v>-1.6</v>
      </c>
      <c r="G130" s="306">
        <v>-1.6</v>
      </c>
    </row>
    <row r="131" spans="2:9">
      <c r="B131" s="343" t="s">
        <v>252</v>
      </c>
      <c r="C131" s="306">
        <f>C23</f>
        <v>-27</v>
      </c>
      <c r="D131" s="306">
        <f>D23</f>
        <v>-54.94</v>
      </c>
      <c r="E131" s="293">
        <f>E23</f>
        <v>-36</v>
      </c>
      <c r="F131" s="306">
        <f>F23</f>
        <v>-31.4</v>
      </c>
      <c r="G131" s="306">
        <f>G23</f>
        <v>-26.3</v>
      </c>
    </row>
    <row r="132" spans="2:9">
      <c r="B132" s="343" t="s">
        <v>253</v>
      </c>
      <c r="C132" s="306">
        <v>-130</v>
      </c>
      <c r="D132" s="306">
        <v>-130</v>
      </c>
      <c r="E132" s="293">
        <v>-130</v>
      </c>
      <c r="F132" s="306">
        <v>-130</v>
      </c>
      <c r="G132" s="306">
        <v>-130</v>
      </c>
    </row>
    <row r="133" spans="2:9">
      <c r="B133" s="343" t="s">
        <v>254</v>
      </c>
      <c r="C133" s="306">
        <f t="shared" ref="C133:G134" si="12">C25</f>
        <v>-20</v>
      </c>
      <c r="D133" s="306">
        <f t="shared" si="12"/>
        <v>-20</v>
      </c>
      <c r="E133" s="293">
        <f t="shared" si="12"/>
        <v>-20</v>
      </c>
      <c r="F133" s="306">
        <f t="shared" si="12"/>
        <v>-20</v>
      </c>
      <c r="G133" s="306">
        <f t="shared" si="12"/>
        <v>-20</v>
      </c>
    </row>
    <row r="134" spans="2:9">
      <c r="B134" s="343" t="s">
        <v>255</v>
      </c>
      <c r="C134" s="306">
        <f t="shared" si="12"/>
        <v>-15</v>
      </c>
      <c r="D134" s="306">
        <f t="shared" si="12"/>
        <v>-12.2</v>
      </c>
      <c r="E134" s="293">
        <f t="shared" si="12"/>
        <v>-15</v>
      </c>
      <c r="F134" s="306">
        <f t="shared" si="12"/>
        <v>-15</v>
      </c>
      <c r="G134" s="306">
        <f t="shared" si="12"/>
        <v>-15</v>
      </c>
    </row>
    <row r="135" spans="2:9" ht="14.25" thickBot="1">
      <c r="B135" s="361" t="s">
        <v>307</v>
      </c>
      <c r="C135" s="354">
        <f>SUM(C129:C134)</f>
        <v>-226.73599992999991</v>
      </c>
      <c r="D135" s="354">
        <f>SUM(D129:D134)</f>
        <v>-251.77599499999994</v>
      </c>
      <c r="E135" s="355">
        <f>SUM(E129:E134)</f>
        <v>-268.6999999999997</v>
      </c>
      <c r="F135" s="354">
        <f>SUM(F129:F134)</f>
        <v>-228</v>
      </c>
      <c r="G135" s="354">
        <f>SUM(G129:G134)</f>
        <v>-224.69999999999996</v>
      </c>
    </row>
    <row r="136" spans="2:9" ht="14.25" thickBot="1">
      <c r="B136" s="361" t="s">
        <v>308</v>
      </c>
      <c r="C136" s="354">
        <f>C128+C135</f>
        <v>529.25900000000001</v>
      </c>
      <c r="D136" s="354">
        <f>D128+D135</f>
        <v>500.93900000000008</v>
      </c>
      <c r="E136" s="355">
        <f>E128+E135</f>
        <v>589.10000000000014</v>
      </c>
      <c r="F136" s="354">
        <f>F128+F135</f>
        <v>562.29999999999995</v>
      </c>
      <c r="G136" s="354">
        <f>G128+G135</f>
        <v>532.00000000000023</v>
      </c>
      <c r="H136" s="296">
        <f>E136-C136</f>
        <v>59.841000000000122</v>
      </c>
      <c r="I136" s="294" t="s">
        <v>639</v>
      </c>
    </row>
    <row r="137" spans="2:9" ht="15.4">
      <c r="B137" s="343" t="s">
        <v>754</v>
      </c>
      <c r="C137" s="306">
        <f t="shared" ref="C137:G139" si="13">C28</f>
        <v>87.339422895145091</v>
      </c>
      <c r="D137" s="412">
        <f t="shared" si="13"/>
        <v>115.659423</v>
      </c>
      <c r="E137" s="293">
        <f t="shared" si="13"/>
        <v>-28.520267955235632</v>
      </c>
      <c r="F137" s="306">
        <f t="shared" si="13"/>
        <v>-15.781070222916707</v>
      </c>
      <c r="G137" s="306">
        <f t="shared" si="13"/>
        <v>2.6091883726249336</v>
      </c>
    </row>
    <row r="138" spans="2:9" ht="13.9" thickBot="1">
      <c r="B138" s="359" t="s">
        <v>309</v>
      </c>
      <c r="C138" s="306">
        <f t="shared" si="13"/>
        <v>-41.9</v>
      </c>
      <c r="D138" s="306">
        <f t="shared" si="13"/>
        <v>-41.9</v>
      </c>
      <c r="E138" s="293">
        <f t="shared" si="13"/>
        <v>-11.8</v>
      </c>
      <c r="F138" s="306">
        <f t="shared" si="13"/>
        <v>-11.8</v>
      </c>
      <c r="G138" s="306">
        <f t="shared" si="13"/>
        <v>0</v>
      </c>
    </row>
    <row r="139" spans="2:9" ht="13.9" thickBot="1">
      <c r="B139" s="345" t="s">
        <v>643</v>
      </c>
      <c r="C139" s="352">
        <f t="shared" si="13"/>
        <v>0</v>
      </c>
      <c r="D139" s="352">
        <f t="shared" si="13"/>
        <v>0</v>
      </c>
      <c r="E139" s="353">
        <f t="shared" si="13"/>
        <v>0</v>
      </c>
      <c r="F139" s="352">
        <f t="shared" si="13"/>
        <v>-8.9</v>
      </c>
      <c r="G139" s="352">
        <f t="shared" si="13"/>
        <v>-21</v>
      </c>
    </row>
    <row r="140" spans="2:9" ht="14.25" thickBot="1">
      <c r="B140" s="360" t="s">
        <v>310</v>
      </c>
      <c r="C140" s="354">
        <f>SUM(C136:C139)</f>
        <v>574.69842289514509</v>
      </c>
      <c r="D140" s="354">
        <f t="shared" ref="D140:G140" si="14">SUM(D136:D139)</f>
        <v>574.69842300000016</v>
      </c>
      <c r="E140" s="355">
        <f t="shared" si="14"/>
        <v>548.7797320447645</v>
      </c>
      <c r="F140" s="354">
        <f t="shared" si="14"/>
        <v>525.81892977708333</v>
      </c>
      <c r="G140" s="354">
        <f t="shared" si="14"/>
        <v>513.60918837262511</v>
      </c>
      <c r="H140" s="296">
        <f>E140-C140</f>
        <v>-25.918690850380585</v>
      </c>
      <c r="I140" s="294" t="s">
        <v>638</v>
      </c>
    </row>
    <row r="141" spans="2:9">
      <c r="B141" s="362" t="s">
        <v>258</v>
      </c>
      <c r="C141" s="306">
        <f t="shared" ref="C141:G146" si="15">C32</f>
        <v>370.96499999999997</v>
      </c>
      <c r="D141" s="412">
        <f t="shared" si="15"/>
        <v>370.96499999999997</v>
      </c>
      <c r="E141" s="293">
        <f t="shared" si="15"/>
        <v>425.56700000000001</v>
      </c>
      <c r="F141" s="306">
        <f t="shared" si="15"/>
        <v>400.10599999999999</v>
      </c>
      <c r="G141" s="306">
        <f t="shared" si="15"/>
        <v>386.03800000000001</v>
      </c>
    </row>
    <row r="142" spans="2:9">
      <c r="B142" s="343" t="s">
        <v>238</v>
      </c>
      <c r="C142" s="306">
        <f t="shared" si="15"/>
        <v>125.05744598477598</v>
      </c>
      <c r="D142" s="306">
        <f t="shared" si="15"/>
        <v>125.05744598477598</v>
      </c>
      <c r="E142" s="293">
        <f t="shared" si="15"/>
        <v>56.436755134395391</v>
      </c>
      <c r="F142" s="306">
        <f t="shared" si="15"/>
        <v>57.712929777083303</v>
      </c>
      <c r="G142" s="306">
        <f t="shared" si="15"/>
        <v>58.871188372624999</v>
      </c>
    </row>
    <row r="143" spans="2:9">
      <c r="B143" s="343" t="str">
        <f>B34</f>
        <v>22-23 DLUHC General Services Grant</v>
      </c>
      <c r="C143" s="306">
        <f t="shared" si="15"/>
        <v>12.600000000000001</v>
      </c>
      <c r="D143" s="306">
        <f t="shared" si="15"/>
        <v>12.600000000000001</v>
      </c>
      <c r="E143" s="293">
        <f t="shared" si="15"/>
        <v>0</v>
      </c>
      <c r="F143" s="306">
        <f t="shared" si="15"/>
        <v>0</v>
      </c>
      <c r="G143" s="306">
        <f t="shared" si="15"/>
        <v>0</v>
      </c>
    </row>
    <row r="144" spans="2:9" ht="13.9" thickBot="1">
      <c r="B144" s="343" t="s">
        <v>388</v>
      </c>
      <c r="C144" s="352">
        <f t="shared" si="15"/>
        <v>-0.62402308963083497</v>
      </c>
      <c r="D144" s="352">
        <f t="shared" si="15"/>
        <v>-0.62402308963083497</v>
      </c>
      <c r="E144" s="353">
        <f t="shared" si="15"/>
        <v>-0.62402308963083497</v>
      </c>
      <c r="F144" s="352">
        <f t="shared" si="15"/>
        <v>0</v>
      </c>
      <c r="G144" s="352">
        <f t="shared" si="15"/>
        <v>0</v>
      </c>
    </row>
    <row r="145" spans="2:15" ht="14.25" thickBot="1">
      <c r="B145" s="337" t="s">
        <v>262</v>
      </c>
      <c r="C145" s="354">
        <f t="shared" si="15"/>
        <v>66.699999999999932</v>
      </c>
      <c r="D145" s="354">
        <f t="shared" si="15"/>
        <v>66.700000104855008</v>
      </c>
      <c r="E145" s="355">
        <f t="shared" si="15"/>
        <v>67.39999999999992</v>
      </c>
      <c r="F145" s="354">
        <f t="shared" si="15"/>
        <v>67.999999999999886</v>
      </c>
      <c r="G145" s="354">
        <f t="shared" si="15"/>
        <v>68.700000000000102</v>
      </c>
      <c r="H145" s="296">
        <f>E145-C145</f>
        <v>0.69999999999998863</v>
      </c>
      <c r="I145" s="294" t="s">
        <v>637</v>
      </c>
    </row>
    <row r="146" spans="2:15" ht="13.9">
      <c r="B146" s="334" t="s">
        <v>263</v>
      </c>
      <c r="C146" s="333" t="e">
        <f t="shared" si="15"/>
        <v>#REF!</v>
      </c>
      <c r="D146" s="333" t="e">
        <f t="shared" si="15"/>
        <v>#REF!</v>
      </c>
      <c r="E146" s="333" t="e">
        <f t="shared" si="15"/>
        <v>#REF!</v>
      </c>
      <c r="F146" s="333" t="e">
        <f t="shared" si="15"/>
        <v>#REF!</v>
      </c>
      <c r="G146" s="333" t="e">
        <f t="shared" si="15"/>
        <v>#REF!</v>
      </c>
    </row>
    <row r="147" spans="2:15" ht="13.9">
      <c r="B147" s="334" t="s">
        <v>264</v>
      </c>
      <c r="C147" s="390" t="e">
        <f>ROUND(C146-C145,6)</f>
        <v>#REF!</v>
      </c>
      <c r="D147" s="390" t="e">
        <f>ROUND(D146-D145,6)</f>
        <v>#REF!</v>
      </c>
      <c r="E147" s="390" t="e">
        <f>ROUND(E146-E145,6)</f>
        <v>#REF!</v>
      </c>
      <c r="F147" s="390" t="e">
        <f>ROUND(F146-F145,6)</f>
        <v>#REF!</v>
      </c>
      <c r="G147" s="390" t="e">
        <f>ROUND(G146-G145,6)</f>
        <v>#REF!</v>
      </c>
    </row>
    <row r="148" spans="2:15" ht="13.9">
      <c r="B148" s="334" t="s">
        <v>265</v>
      </c>
      <c r="C148" s="390">
        <f>SUM(C141:C145)-C140</f>
        <v>0</v>
      </c>
      <c r="D148" s="390">
        <f>SUM(D141:D145)-D140</f>
        <v>0</v>
      </c>
      <c r="E148" s="390">
        <f>SUM(E141:E145)-E140</f>
        <v>0</v>
      </c>
      <c r="F148" s="390">
        <f>SUM(F141:F145)-F140</f>
        <v>0</v>
      </c>
      <c r="G148" s="390">
        <f>SUM(G141:G145)-G140</f>
        <v>0</v>
      </c>
    </row>
    <row r="150" spans="2:15" ht="14.25" thickBot="1">
      <c r="B150" s="298" t="s">
        <v>311</v>
      </c>
      <c r="C150" s="394"/>
      <c r="D150" s="394"/>
      <c r="E150" s="394"/>
      <c r="F150" s="394"/>
      <c r="G150" s="394"/>
    </row>
    <row r="151" spans="2:15" ht="15" customHeight="1" thickBot="1">
      <c r="B151" s="363"/>
      <c r="C151" s="479" t="s">
        <v>138</v>
      </c>
      <c r="D151" s="479" t="s">
        <v>243</v>
      </c>
      <c r="E151" s="480" t="s">
        <v>231</v>
      </c>
      <c r="F151" s="479" t="s">
        <v>140</v>
      </c>
      <c r="G151" s="479" t="s">
        <v>140</v>
      </c>
    </row>
    <row r="152" spans="2:15" ht="13.9">
      <c r="B152" s="364" t="s">
        <v>312</v>
      </c>
      <c r="C152" s="479"/>
      <c r="D152" s="479"/>
      <c r="E152" s="480"/>
      <c r="F152" s="479"/>
      <c r="G152" s="479"/>
      <c r="N152" s="373" t="s">
        <v>71</v>
      </c>
      <c r="O152" s="373" t="s">
        <v>677</v>
      </c>
    </row>
    <row r="153" spans="2:15" ht="13.9">
      <c r="B153" s="364"/>
      <c r="C153" s="296" t="s">
        <v>127</v>
      </c>
      <c r="D153" s="296" t="s">
        <v>127</v>
      </c>
      <c r="E153" s="291" t="s">
        <v>128</v>
      </c>
      <c r="F153" s="296" t="s">
        <v>129</v>
      </c>
      <c r="G153" s="296" t="s">
        <v>130</v>
      </c>
      <c r="N153" s="351" t="s">
        <v>719</v>
      </c>
      <c r="O153" s="351">
        <v>9</v>
      </c>
    </row>
    <row r="154" spans="2:15" ht="14.25" thickBot="1">
      <c r="B154" s="361"/>
      <c r="C154" s="303" t="s">
        <v>40</v>
      </c>
      <c r="D154" s="303" t="s">
        <v>40</v>
      </c>
      <c r="E154" s="304" t="s">
        <v>40</v>
      </c>
      <c r="F154" s="303" t="s">
        <v>40</v>
      </c>
      <c r="G154" s="303" t="s">
        <v>40</v>
      </c>
      <c r="N154" s="351" t="s">
        <v>720</v>
      </c>
      <c r="O154" s="351">
        <v>4</v>
      </c>
    </row>
    <row r="155" spans="2:15" ht="13.9">
      <c r="B155" s="365" t="s">
        <v>313</v>
      </c>
      <c r="C155" s="296"/>
      <c r="D155" s="296"/>
      <c r="E155" s="291"/>
      <c r="F155" s="296"/>
      <c r="G155" s="296"/>
      <c r="H155" s="392"/>
      <c r="I155" s="392"/>
      <c r="N155" s="351" t="s">
        <v>721</v>
      </c>
      <c r="O155" s="351">
        <v>10</v>
      </c>
    </row>
    <row r="156" spans="2:15">
      <c r="B156" s="366" t="s">
        <v>314</v>
      </c>
      <c r="C156" s="367">
        <v>0.9</v>
      </c>
      <c r="D156" s="367">
        <v>0.9</v>
      </c>
      <c r="E156" s="293">
        <v>3</v>
      </c>
      <c r="F156" s="367">
        <v>3</v>
      </c>
      <c r="G156" s="367">
        <v>3</v>
      </c>
      <c r="H156" s="392" t="s">
        <v>692</v>
      </c>
      <c r="I156" s="392"/>
      <c r="N156" s="351" t="s">
        <v>722</v>
      </c>
      <c r="O156" s="351">
        <v>17.899999999999999</v>
      </c>
    </row>
    <row r="157" spans="2:15">
      <c r="B157" s="366" t="s">
        <v>315</v>
      </c>
      <c r="C157" s="367">
        <v>5</v>
      </c>
      <c r="D157" s="367">
        <v>7.5</v>
      </c>
      <c r="E157" s="293">
        <v>5</v>
      </c>
      <c r="F157" s="367">
        <v>5</v>
      </c>
      <c r="G157" s="367">
        <v>5</v>
      </c>
      <c r="H157" s="392" t="s">
        <v>693</v>
      </c>
      <c r="I157" s="392"/>
      <c r="N157" s="351" t="s">
        <v>723</v>
      </c>
      <c r="O157" s="351">
        <v>10</v>
      </c>
    </row>
    <row r="158" spans="2:15" ht="13.9">
      <c r="B158" s="368" t="s">
        <v>316</v>
      </c>
      <c r="C158" s="367">
        <v>30</v>
      </c>
      <c r="D158" s="367">
        <v>30</v>
      </c>
      <c r="E158" s="293">
        <v>27.826630700000003</v>
      </c>
      <c r="F158" s="367">
        <v>0</v>
      </c>
      <c r="G158" s="367">
        <v>0</v>
      </c>
      <c r="H158" s="392" t="s">
        <v>698</v>
      </c>
      <c r="I158" s="392"/>
      <c r="N158" s="373" t="s">
        <v>717</v>
      </c>
      <c r="O158" s="373">
        <v>50.9</v>
      </c>
    </row>
    <row r="159" spans="2:15">
      <c r="B159" s="368" t="s">
        <v>317</v>
      </c>
      <c r="C159" s="367">
        <v>0</v>
      </c>
      <c r="D159" s="367">
        <v>7.5003960100000029</v>
      </c>
      <c r="E159" s="293">
        <v>0</v>
      </c>
      <c r="F159" s="367">
        <v>0</v>
      </c>
      <c r="G159" s="367">
        <v>0</v>
      </c>
      <c r="H159" s="392" t="s">
        <v>699</v>
      </c>
      <c r="I159" s="392"/>
    </row>
    <row r="160" spans="2:15">
      <c r="B160" s="368" t="s">
        <v>318</v>
      </c>
      <c r="C160" s="367">
        <v>14</v>
      </c>
      <c r="D160" s="367">
        <v>14</v>
      </c>
      <c r="E160" s="293">
        <v>10</v>
      </c>
      <c r="F160" s="367">
        <v>5</v>
      </c>
      <c r="G160" s="367">
        <v>0</v>
      </c>
      <c r="H160" s="392" t="s">
        <v>699</v>
      </c>
      <c r="I160" s="392"/>
      <c r="N160" s="351" t="s">
        <v>724</v>
      </c>
      <c r="O160" s="351">
        <v>58.1</v>
      </c>
    </row>
    <row r="161" spans="2:15" ht="27">
      <c r="B161" s="368" t="s">
        <v>319</v>
      </c>
      <c r="C161" s="367">
        <v>0</v>
      </c>
      <c r="D161" s="367">
        <v>0</v>
      </c>
      <c r="E161" s="293">
        <v>0</v>
      </c>
      <c r="F161" s="367">
        <v>0</v>
      </c>
      <c r="G161" s="367">
        <v>0</v>
      </c>
      <c r="H161" s="392" t="s">
        <v>699</v>
      </c>
      <c r="I161" s="392"/>
      <c r="N161" s="351" t="s">
        <v>625</v>
      </c>
      <c r="O161" s="351">
        <v>-9</v>
      </c>
    </row>
    <row r="162" spans="2:15" ht="13.9">
      <c r="B162" s="369" t="s">
        <v>320</v>
      </c>
      <c r="C162" s="367"/>
      <c r="D162" s="367"/>
      <c r="E162" s="293"/>
      <c r="F162" s="367"/>
      <c r="G162" s="367"/>
      <c r="H162" s="392"/>
      <c r="I162" s="392"/>
      <c r="N162" s="373" t="s">
        <v>725</v>
      </c>
      <c r="O162" s="373">
        <f>SUM(O160:O161)</f>
        <v>49.1</v>
      </c>
    </row>
    <row r="163" spans="2:15">
      <c r="B163" s="368" t="s">
        <v>321</v>
      </c>
      <c r="C163" s="367">
        <v>3.8</v>
      </c>
      <c r="D163" s="367" t="e">
        <f>-#REF!</f>
        <v>#REF!</v>
      </c>
      <c r="E163" s="293" t="e">
        <f>-#REF!</f>
        <v>#REF!</v>
      </c>
      <c r="F163" s="367" t="e">
        <f>-#REF!</f>
        <v>#REF!</v>
      </c>
      <c r="G163" s="367" t="e">
        <f>-#REF!</f>
        <v>#REF!</v>
      </c>
      <c r="H163" s="392" t="s">
        <v>702</v>
      </c>
      <c r="I163" s="392"/>
      <c r="N163" s="351" t="s">
        <v>726</v>
      </c>
      <c r="O163" s="351">
        <v>46.7</v>
      </c>
    </row>
    <row r="164" spans="2:15">
      <c r="B164" s="368" t="s">
        <v>614</v>
      </c>
      <c r="C164" s="367">
        <v>0</v>
      </c>
      <c r="D164" s="367" t="e">
        <f>-#REF!</f>
        <v>#REF!</v>
      </c>
      <c r="E164" s="293" t="e">
        <f>-#REF!</f>
        <v>#REF!</v>
      </c>
      <c r="F164" s="367" t="e">
        <f>-#REF!</f>
        <v>#REF!</v>
      </c>
      <c r="G164" s="367" t="e">
        <f>-#REF!</f>
        <v>#REF!</v>
      </c>
      <c r="H164" s="392" t="s">
        <v>702</v>
      </c>
      <c r="I164" s="392"/>
    </row>
    <row r="165" spans="2:15">
      <c r="B165" s="368" t="s">
        <v>750</v>
      </c>
      <c r="C165" s="367">
        <v>41.9</v>
      </c>
      <c r="D165" s="367">
        <f>41.9+9</f>
        <v>50.9</v>
      </c>
      <c r="E165" s="293">
        <v>11.8</v>
      </c>
      <c r="F165" s="367">
        <v>11.8</v>
      </c>
      <c r="G165" s="367">
        <v>0</v>
      </c>
      <c r="H165" s="392" t="s">
        <v>693</v>
      </c>
      <c r="I165" s="392"/>
      <c r="J165" s="351" t="s">
        <v>712</v>
      </c>
    </row>
    <row r="166" spans="2:15" ht="13.9">
      <c r="B166" s="368" t="s">
        <v>751</v>
      </c>
      <c r="C166" s="367">
        <v>48.449857019999854</v>
      </c>
      <c r="D166" s="367" t="e">
        <f>#REF!+43.5</f>
        <v>#REF!</v>
      </c>
      <c r="E166" s="293" t="e">
        <f>#REF!</f>
        <v>#REF!</v>
      </c>
      <c r="F166" s="367" t="e">
        <f>#REF!</f>
        <v>#REF!</v>
      </c>
      <c r="G166" s="367" t="e">
        <f>#REF!</f>
        <v>#REF!</v>
      </c>
      <c r="H166" s="392" t="s">
        <v>755</v>
      </c>
      <c r="I166" s="392"/>
      <c r="L166" s="395" t="s">
        <v>752</v>
      </c>
      <c r="M166" s="396"/>
      <c r="N166" s="396"/>
    </row>
    <row r="167" spans="2:15" ht="13.9">
      <c r="B167" s="369" t="s">
        <v>75</v>
      </c>
      <c r="C167" s="367"/>
      <c r="D167" s="367"/>
      <c r="E167" s="293"/>
      <c r="F167" s="367"/>
      <c r="G167" s="367"/>
      <c r="H167" s="392"/>
      <c r="I167" s="392"/>
    </row>
    <row r="168" spans="2:15" ht="13.9">
      <c r="B168" s="369" t="s">
        <v>322</v>
      </c>
      <c r="C168" s="367">
        <v>-155.5</v>
      </c>
      <c r="D168" s="367" t="e">
        <f>#REF!</f>
        <v>#REF!</v>
      </c>
      <c r="E168" s="293" t="e">
        <f>#REF!</f>
        <v>#REF!</v>
      </c>
      <c r="F168" s="367" t="e">
        <f>#REF!</f>
        <v>#REF!</v>
      </c>
      <c r="G168" s="367" t="e">
        <f>#REF!</f>
        <v>#REF!</v>
      </c>
      <c r="H168" s="392" t="s">
        <v>693</v>
      </c>
      <c r="I168" s="392"/>
    </row>
    <row r="169" spans="2:15">
      <c r="B169" s="368" t="s">
        <v>710</v>
      </c>
      <c r="C169" s="367">
        <v>0</v>
      </c>
      <c r="D169" s="367">
        <v>0</v>
      </c>
      <c r="E169" s="293">
        <v>0</v>
      </c>
      <c r="F169" s="367">
        <v>0</v>
      </c>
      <c r="G169" s="367">
        <v>0</v>
      </c>
      <c r="H169" s="392" t="s">
        <v>693</v>
      </c>
      <c r="I169" s="392"/>
    </row>
    <row r="170" spans="2:15" ht="13.9">
      <c r="B170" s="369" t="s">
        <v>323</v>
      </c>
      <c r="C170" s="367"/>
      <c r="D170" s="367"/>
      <c r="E170" s="293"/>
      <c r="F170" s="367"/>
      <c r="G170" s="367"/>
      <c r="H170" s="392"/>
      <c r="I170" s="392"/>
    </row>
    <row r="171" spans="2:15" ht="27">
      <c r="B171" s="368" t="s">
        <v>324</v>
      </c>
      <c r="C171" s="367">
        <v>86.538094416666695</v>
      </c>
      <c r="D171" s="367">
        <v>86.538094416666695</v>
      </c>
      <c r="E171" s="293">
        <f>86.5380944166667+22.5</f>
        <v>109.03809441666669</v>
      </c>
      <c r="F171" s="367">
        <v>0</v>
      </c>
      <c r="G171" s="367">
        <v>0</v>
      </c>
      <c r="H171" s="351" t="s">
        <v>693</v>
      </c>
    </row>
    <row r="172" spans="2:15">
      <c r="B172" s="368" t="s">
        <v>711</v>
      </c>
      <c r="C172" s="367">
        <v>0</v>
      </c>
      <c r="D172" s="367">
        <f>671+161</f>
        <v>832</v>
      </c>
      <c r="E172" s="293">
        <v>0</v>
      </c>
      <c r="F172" s="367">
        <v>0</v>
      </c>
      <c r="G172" s="367">
        <v>0</v>
      </c>
      <c r="H172" s="351" t="s">
        <v>693</v>
      </c>
      <c r="K172" s="351">
        <v>374.3</v>
      </c>
    </row>
    <row r="173" spans="2:15">
      <c r="B173" s="368" t="s">
        <v>713</v>
      </c>
      <c r="C173" s="367">
        <v>0</v>
      </c>
      <c r="D173" s="367">
        <v>1.1729E-2</v>
      </c>
      <c r="E173" s="293">
        <v>0</v>
      </c>
      <c r="F173" s="367">
        <v>0</v>
      </c>
      <c r="G173" s="367">
        <v>4.5400000000000003E-2</v>
      </c>
      <c r="H173" s="351" t="s">
        <v>716</v>
      </c>
    </row>
    <row r="174" spans="2:15">
      <c r="B174" s="368" t="s">
        <v>325</v>
      </c>
      <c r="C174" s="367">
        <v>29.085716750000245</v>
      </c>
      <c r="D174" s="367">
        <f>(-3.3-50+11-47.5+5.5+10.9)+-0.014283</f>
        <v>-73.414282999999998</v>
      </c>
      <c r="E174" s="293">
        <f>11</f>
        <v>11</v>
      </c>
      <c r="F174" s="367">
        <v>0</v>
      </c>
      <c r="G174" s="367">
        <v>0</v>
      </c>
      <c r="H174" s="351" t="s">
        <v>693</v>
      </c>
    </row>
    <row r="175" spans="2:15" ht="13.9" thickBot="1">
      <c r="B175" s="370" t="s">
        <v>326</v>
      </c>
      <c r="C175" s="313">
        <v>793.63683900000001</v>
      </c>
      <c r="D175" s="313">
        <v>793.63683900000001</v>
      </c>
      <c r="E175" s="347">
        <v>717.5</v>
      </c>
      <c r="F175" s="346">
        <v>717.5</v>
      </c>
      <c r="G175" s="346">
        <v>717.5</v>
      </c>
      <c r="H175" s="351" t="s">
        <v>692</v>
      </c>
    </row>
    <row r="176" spans="2:15" ht="14.25" thickBot="1">
      <c r="B176" s="371" t="s">
        <v>327</v>
      </c>
      <c r="C176" s="303">
        <f>SUM(C156:C175)</f>
        <v>897.81050718666677</v>
      </c>
      <c r="D176" s="303" t="e">
        <f>SUM(D156:D175)</f>
        <v>#REF!</v>
      </c>
      <c r="E176" s="372" t="e">
        <f>SUM(E156:E175)</f>
        <v>#REF!</v>
      </c>
      <c r="F176" s="303" t="e">
        <f>SUM(F156:F175)</f>
        <v>#REF!</v>
      </c>
      <c r="G176" s="303" t="e">
        <f>SUM(G156:G175)</f>
        <v>#REF!</v>
      </c>
    </row>
    <row r="177" spans="2:8">
      <c r="B177" s="368" t="s">
        <v>328</v>
      </c>
      <c r="C177" s="367">
        <v>-3.8</v>
      </c>
      <c r="D177" s="367" t="e">
        <f>-D163-D164+1.1+5.5-0.0635027600000013</f>
        <v>#REF!</v>
      </c>
      <c r="E177" s="293" t="e">
        <f>-E163-E164+3.9</f>
        <v>#REF!</v>
      </c>
      <c r="F177" s="367" t="e">
        <f>-F163-F164+4.8</f>
        <v>#REF!</v>
      </c>
      <c r="G177" s="367" t="e">
        <f>-G163-G164</f>
        <v>#REF!</v>
      </c>
    </row>
    <row r="178" spans="2:8">
      <c r="B178" s="368" t="s">
        <v>329</v>
      </c>
      <c r="C178" s="367">
        <v>-30</v>
      </c>
      <c r="D178" s="367">
        <v>-30</v>
      </c>
      <c r="E178" s="293">
        <f>-E158</f>
        <v>-27.826630700000003</v>
      </c>
      <c r="F178" s="367">
        <v>0</v>
      </c>
      <c r="G178" s="367">
        <v>0</v>
      </c>
    </row>
    <row r="179" spans="2:8">
      <c r="B179" s="368" t="s">
        <v>330</v>
      </c>
      <c r="C179" s="367">
        <v>-14</v>
      </c>
      <c r="D179" s="367">
        <f>-D159-D160-D161</f>
        <v>-21.500396010000003</v>
      </c>
      <c r="E179" s="293">
        <f>-E159-E160-E161</f>
        <v>-10</v>
      </c>
      <c r="F179" s="367">
        <f>-F159-F160-F161</f>
        <v>-5</v>
      </c>
      <c r="G179" s="367">
        <f>-G159-G160-G161</f>
        <v>0</v>
      </c>
    </row>
    <row r="180" spans="2:8">
      <c r="B180" s="368" t="s">
        <v>700</v>
      </c>
      <c r="C180" s="367">
        <v>166.03128498000001</v>
      </c>
      <c r="D180" s="367">
        <f>D64</f>
        <v>142.47100000000006</v>
      </c>
      <c r="E180" s="293">
        <f>E64</f>
        <v>-101.5</v>
      </c>
      <c r="F180" s="367">
        <f>F64</f>
        <v>-28.300000000000011</v>
      </c>
      <c r="G180" s="367">
        <f>G64</f>
        <v>-32.945400000000006</v>
      </c>
    </row>
    <row r="181" spans="2:8" ht="15" customHeight="1" thickBot="1">
      <c r="B181" s="368" t="s">
        <v>331</v>
      </c>
      <c r="C181" s="313">
        <f>-81.8238111666669+71.782019</f>
        <v>-10.041792166666895</v>
      </c>
      <c r="D181" s="313">
        <f>D61</f>
        <v>-871.02387683999996</v>
      </c>
      <c r="E181" s="347" t="e">
        <f>-E1-E16474-E165-E168-E174-E173-E171-E157-3.9-E169+110</f>
        <v>#REF!</v>
      </c>
      <c r="F181" s="346" t="e">
        <f>-F157-F165-F168-4.8</f>
        <v>#REF!</v>
      </c>
      <c r="G181" s="346" t="e">
        <f>-G157-G165-G168</f>
        <v>#REF!</v>
      </c>
      <c r="H181" s="351" t="s">
        <v>703</v>
      </c>
    </row>
    <row r="182" spans="2:8" ht="15" customHeight="1" thickBot="1">
      <c r="B182" s="371" t="s">
        <v>310</v>
      </c>
      <c r="C182" s="303">
        <f>SUM(C176:C181)</f>
        <v>1005.9999999999999</v>
      </c>
      <c r="D182" s="303" t="e">
        <f>SUM(D176:D181)</f>
        <v>#REF!</v>
      </c>
      <c r="E182" s="372" t="e">
        <f>SUM(E176:E181)</f>
        <v>#REF!</v>
      </c>
      <c r="F182" s="303" t="e">
        <f>SUM(F176:F181)</f>
        <v>#REF!</v>
      </c>
      <c r="G182" s="303" t="e">
        <f>SUM(G176:G181)</f>
        <v>#REF!</v>
      </c>
    </row>
    <row r="183" spans="2:8" ht="15" customHeight="1">
      <c r="B183" s="368" t="s">
        <v>259</v>
      </c>
      <c r="C183" s="367">
        <v>15.8</v>
      </c>
      <c r="D183" s="367">
        <v>15.8</v>
      </c>
      <c r="E183" s="293">
        <v>0</v>
      </c>
      <c r="F183" s="367">
        <v>0</v>
      </c>
      <c r="G183" s="367">
        <v>0</v>
      </c>
    </row>
    <row r="184" spans="2:8" ht="15" customHeight="1">
      <c r="B184" s="368" t="s">
        <v>260</v>
      </c>
      <c r="C184" s="367">
        <v>9.8000000000000007</v>
      </c>
      <c r="D184" s="367">
        <v>9.8000000000000007</v>
      </c>
      <c r="E184" s="293">
        <v>0</v>
      </c>
      <c r="F184" s="367">
        <v>0</v>
      </c>
      <c r="G184" s="367">
        <v>0</v>
      </c>
    </row>
    <row r="185" spans="2:8" ht="13.9" thickBot="1">
      <c r="B185" s="368" t="s">
        <v>238</v>
      </c>
      <c r="C185" s="313">
        <v>918.9</v>
      </c>
      <c r="D185" s="313">
        <f>918.9+31</f>
        <v>949.9</v>
      </c>
      <c r="E185" s="347">
        <f>E175+E156+110</f>
        <v>830.5</v>
      </c>
      <c r="F185" s="346">
        <f>F175+F156</f>
        <v>720.5</v>
      </c>
      <c r="G185" s="346">
        <f>G175+G156</f>
        <v>720.5</v>
      </c>
      <c r="H185" s="351" t="s">
        <v>692</v>
      </c>
    </row>
    <row r="186" spans="2:8" ht="14.25" thickBot="1">
      <c r="B186" s="371" t="s">
        <v>262</v>
      </c>
      <c r="C186" s="303">
        <f>C182-SUM(C183:C185)</f>
        <v>61.499999999999886</v>
      </c>
      <c r="D186" s="303" t="e">
        <f>D182-SUM(D183:D185)</f>
        <v>#REF!</v>
      </c>
      <c r="E186" s="372" t="e">
        <f>E182-SUM(E183:E185)</f>
        <v>#REF!</v>
      </c>
      <c r="F186" s="303" t="e">
        <f>F182-SUM(F183:F185)</f>
        <v>#REF!</v>
      </c>
      <c r="G186" s="303" t="e">
        <f>G182-SUM(G183:G185)</f>
        <v>#REF!</v>
      </c>
    </row>
    <row r="187" spans="2:8" ht="13.9">
      <c r="B187" s="334" t="s">
        <v>263</v>
      </c>
      <c r="C187" s="333">
        <v>61.5</v>
      </c>
      <c r="D187" s="333">
        <v>61.5</v>
      </c>
      <c r="E187" s="333">
        <v>0</v>
      </c>
      <c r="F187" s="333">
        <v>0</v>
      </c>
      <c r="G187" s="333">
        <v>0</v>
      </c>
      <c r="H187" s="392"/>
    </row>
    <row r="188" spans="2:8" ht="13.9">
      <c r="B188" s="334" t="s">
        <v>264</v>
      </c>
      <c r="C188" s="390">
        <f>ROUND(C187-C186,6)</f>
        <v>0</v>
      </c>
      <c r="D188" s="390" t="e">
        <f>ROUND(D187-D186,6)</f>
        <v>#REF!</v>
      </c>
      <c r="E188" s="390" t="e">
        <f>ROUND(E187-E186,6)</f>
        <v>#REF!</v>
      </c>
      <c r="F188" s="390" t="e">
        <f>ROUND(F187-F186,6)</f>
        <v>#REF!</v>
      </c>
      <c r="G188" s="390" t="e">
        <f>ROUND(G187-G186,6)</f>
        <v>#REF!</v>
      </c>
    </row>
    <row r="189" spans="2:8" ht="13.9">
      <c r="B189" s="334" t="s">
        <v>265</v>
      </c>
      <c r="C189" s="390">
        <f>SUM(C183:C186)-C182</f>
        <v>0</v>
      </c>
      <c r="D189" s="390" t="e">
        <f>SUM(D183:D186)-D182</f>
        <v>#REF!</v>
      </c>
      <c r="E189" s="390" t="e">
        <f>SUM(E183:E186)-E182</f>
        <v>#REF!</v>
      </c>
      <c r="F189" s="390" t="e">
        <f>SUM(F183:F186)-F182</f>
        <v>#REF!</v>
      </c>
      <c r="G189" s="390" t="e">
        <f>SUM(G183:G186)-G182</f>
        <v>#REF!</v>
      </c>
    </row>
    <row r="190" spans="2:8" ht="13.9">
      <c r="B190" s="334"/>
      <c r="C190" s="390"/>
      <c r="D190" s="390"/>
      <c r="E190" s="390"/>
      <c r="F190" s="390"/>
      <c r="G190" s="390"/>
    </row>
    <row r="191" spans="2:8" ht="13.9">
      <c r="B191" s="334" t="s">
        <v>694</v>
      </c>
      <c r="C191" s="390"/>
      <c r="D191" s="390" t="e">
        <f>D177-D63</f>
        <v>#REF!</v>
      </c>
      <c r="E191" s="390" t="e">
        <f>E177-E63</f>
        <v>#REF!</v>
      </c>
      <c r="F191" s="390" t="e">
        <f>F177-F63</f>
        <v>#REF!</v>
      </c>
      <c r="G191" s="390" t="e">
        <f>G177-G63</f>
        <v>#REF!</v>
      </c>
    </row>
    <row r="192" spans="2:8" ht="13.9">
      <c r="B192" s="334" t="s">
        <v>695</v>
      </c>
      <c r="C192" s="390"/>
      <c r="D192" s="390">
        <f>D178-D68</f>
        <v>0</v>
      </c>
      <c r="E192" s="390">
        <f>E178-E68</f>
        <v>0</v>
      </c>
      <c r="F192" s="390">
        <f>F178-F68</f>
        <v>0</v>
      </c>
      <c r="G192" s="390">
        <f>G178-G68</f>
        <v>0</v>
      </c>
    </row>
    <row r="193" spans="2:7" ht="13.9">
      <c r="B193" s="334" t="s">
        <v>696</v>
      </c>
      <c r="C193" s="390"/>
      <c r="D193" s="390">
        <f>D179-D62</f>
        <v>0</v>
      </c>
      <c r="E193" s="390">
        <f>E179-E62</f>
        <v>0</v>
      </c>
      <c r="F193" s="390">
        <f>F179-F62</f>
        <v>0</v>
      </c>
      <c r="G193" s="390">
        <f>G179-G62</f>
        <v>0</v>
      </c>
    </row>
    <row r="194" spans="2:7" ht="13.9">
      <c r="B194" s="334" t="s">
        <v>701</v>
      </c>
      <c r="C194" s="390"/>
      <c r="D194" s="390">
        <f>D180-D64</f>
        <v>0</v>
      </c>
      <c r="E194" s="390">
        <f>E180-E64</f>
        <v>0</v>
      </c>
      <c r="F194" s="390">
        <f>F180-F64</f>
        <v>0</v>
      </c>
      <c r="G194" s="390">
        <f>G180-G64</f>
        <v>0</v>
      </c>
    </row>
    <row r="195" spans="2:7" ht="13.9">
      <c r="B195" s="334" t="s">
        <v>697</v>
      </c>
      <c r="C195" s="390"/>
      <c r="D195" s="390">
        <f>ROUND(D181-D61,1)</f>
        <v>0</v>
      </c>
      <c r="E195" s="390" t="e">
        <f>ROUND(E181-E61,1)</f>
        <v>#REF!</v>
      </c>
      <c r="F195" s="390" t="e">
        <f>ROUND(F181-F61,1)</f>
        <v>#REF!</v>
      </c>
      <c r="G195" s="390" t="e">
        <f>ROUND(G181-G61,1)</f>
        <v>#REF!</v>
      </c>
    </row>
    <row r="196" spans="2:7" ht="13.9">
      <c r="B196" s="334"/>
      <c r="C196" s="390"/>
      <c r="D196" s="390"/>
      <c r="E196" s="390"/>
      <c r="F196" s="390"/>
      <c r="G196" s="390"/>
    </row>
    <row r="197" spans="2:7" ht="13.9">
      <c r="B197" s="334"/>
      <c r="C197" s="390"/>
      <c r="D197" s="390"/>
      <c r="E197" s="390"/>
      <c r="F197" s="390"/>
      <c r="G197" s="390"/>
    </row>
    <row r="198" spans="2:7" ht="13.9">
      <c r="B198" s="334"/>
      <c r="C198" s="390"/>
      <c r="D198" s="390"/>
      <c r="E198" s="390"/>
      <c r="F198" s="390"/>
      <c r="G198" s="390"/>
    </row>
    <row r="199" spans="2:7" ht="13.9">
      <c r="B199" s="334"/>
      <c r="C199" s="390"/>
      <c r="D199" s="397" t="s">
        <v>243</v>
      </c>
      <c r="E199" s="397" t="s">
        <v>231</v>
      </c>
      <c r="F199" s="390"/>
      <c r="G199" s="390"/>
    </row>
    <row r="200" spans="2:7" ht="13.9">
      <c r="B200" s="373" t="s">
        <v>737</v>
      </c>
      <c r="C200" s="390"/>
      <c r="D200" s="397" t="s">
        <v>127</v>
      </c>
      <c r="E200" s="397" t="s">
        <v>128</v>
      </c>
      <c r="F200" s="390"/>
      <c r="G200" s="390"/>
    </row>
    <row r="201" spans="2:7">
      <c r="B201" s="351" t="s">
        <v>733</v>
      </c>
      <c r="D201" s="351" t="e">
        <f t="shared" ref="D201:E203" si="16">D163</f>
        <v>#REF!</v>
      </c>
      <c r="E201" s="351" t="e">
        <f t="shared" si="16"/>
        <v>#REF!</v>
      </c>
    </row>
    <row r="202" spans="2:7">
      <c r="B202" s="351" t="s">
        <v>734</v>
      </c>
      <c r="D202" s="351" t="e">
        <f t="shared" si="16"/>
        <v>#REF!</v>
      </c>
      <c r="E202" s="351" t="e">
        <f t="shared" si="16"/>
        <v>#REF!</v>
      </c>
    </row>
    <row r="203" spans="2:7">
      <c r="B203" s="351" t="s">
        <v>735</v>
      </c>
      <c r="D203" s="351">
        <f t="shared" si="16"/>
        <v>50.9</v>
      </c>
      <c r="E203" s="351">
        <f t="shared" si="16"/>
        <v>11.8</v>
      </c>
    </row>
    <row r="204" spans="2:7">
      <c r="B204" s="351" t="s">
        <v>736</v>
      </c>
      <c r="D204" s="351" t="e">
        <f>#REF!-43.5</f>
        <v>#REF!</v>
      </c>
      <c r="E204" s="351" t="e">
        <f>#REF!</f>
        <v>#REF!</v>
      </c>
    </row>
    <row r="205" spans="2:7">
      <c r="B205" s="351" t="s">
        <v>747</v>
      </c>
      <c r="D205" s="351" t="e">
        <f>-'GLA Mayor (2)'!D168-D207</f>
        <v>#REF!</v>
      </c>
      <c r="E205" s="351" t="e">
        <f>-'GLA Mayor (2)'!E168</f>
        <v>#REF!</v>
      </c>
    </row>
    <row r="206" spans="2:7" ht="13.9">
      <c r="B206" s="373" t="s">
        <v>738</v>
      </c>
    </row>
    <row r="207" spans="2:7" ht="13.9">
      <c r="B207" s="351" t="s">
        <v>748</v>
      </c>
      <c r="D207" s="351">
        <v>43.3</v>
      </c>
      <c r="E207" s="351">
        <v>0</v>
      </c>
      <c r="F207" s="390"/>
      <c r="G207" s="390"/>
    </row>
    <row r="208" spans="2:7" ht="13.9">
      <c r="B208" s="373" t="s">
        <v>739</v>
      </c>
      <c r="F208" s="390"/>
      <c r="G208" s="390"/>
    </row>
    <row r="209" spans="2:11" ht="13.9">
      <c r="B209" s="351" t="s">
        <v>740</v>
      </c>
      <c r="D209" s="351">
        <f>'GLA Mayor (2)'!D127</f>
        <v>0</v>
      </c>
      <c r="E209" s="351">
        <f>'GLA Mayor (2)'!E127</f>
        <v>11.8</v>
      </c>
      <c r="F209" s="390"/>
      <c r="G209" s="390"/>
    </row>
    <row r="210" spans="2:11" ht="13.9">
      <c r="B210" s="351" t="s">
        <v>746</v>
      </c>
      <c r="D210" s="351" t="e">
        <f>-#REF!</f>
        <v>#REF!</v>
      </c>
      <c r="E210" s="351" t="e">
        <f>-#REF!</f>
        <v>#REF!</v>
      </c>
      <c r="F210" s="390"/>
      <c r="G210" s="390"/>
    </row>
    <row r="211" spans="2:11" ht="13.9">
      <c r="B211" s="373" t="s">
        <v>741</v>
      </c>
      <c r="F211" s="390"/>
      <c r="G211" s="390"/>
    </row>
    <row r="212" spans="2:11" ht="13.9">
      <c r="B212" s="351" t="s">
        <v>742</v>
      </c>
      <c r="D212" s="351">
        <f>C235</f>
        <v>319.5</v>
      </c>
      <c r="E212" s="351">
        <f>D235</f>
        <v>0</v>
      </c>
      <c r="F212" s="390"/>
      <c r="G212" s="390"/>
    </row>
    <row r="213" spans="2:11" ht="13.9">
      <c r="B213" s="351" t="s">
        <v>743</v>
      </c>
      <c r="D213" s="351">
        <f>C238</f>
        <v>7.5</v>
      </c>
      <c r="E213" s="351">
        <f>D238</f>
        <v>0</v>
      </c>
      <c r="F213" s="390"/>
      <c r="G213" s="390"/>
    </row>
    <row r="214" spans="2:11" ht="13.9">
      <c r="B214" s="351" t="s">
        <v>745</v>
      </c>
      <c r="D214" s="351">
        <f>C236</f>
        <v>17.3</v>
      </c>
      <c r="E214" s="351">
        <f>D236</f>
        <v>4.8</v>
      </c>
      <c r="F214" s="390"/>
      <c r="G214" s="390"/>
    </row>
    <row r="215" spans="2:11" ht="13.9">
      <c r="B215" s="351" t="s">
        <v>114</v>
      </c>
      <c r="D215" s="351">
        <f>SUM(C239:C242)</f>
        <v>295</v>
      </c>
      <c r="E215" s="351">
        <f>SUM(D239:D242)</f>
        <v>71.7</v>
      </c>
      <c r="F215" s="390"/>
      <c r="G215" s="390"/>
    </row>
    <row r="216" spans="2:11" ht="13.9">
      <c r="B216" s="373" t="s">
        <v>744</v>
      </c>
      <c r="F216" s="390"/>
      <c r="G216" s="390"/>
    </row>
    <row r="217" spans="2:11" ht="13.9">
      <c r="B217" s="351" t="s">
        <v>749</v>
      </c>
      <c r="D217" s="351" t="e">
        <f>#REF!</f>
        <v>#REF!</v>
      </c>
      <c r="E217" s="351" t="e">
        <f>#REF!</f>
        <v>#REF!</v>
      </c>
      <c r="F217" s="390"/>
      <c r="G217" s="390"/>
    </row>
    <row r="218" spans="2:11" ht="13.9">
      <c r="B218" s="373" t="s">
        <v>676</v>
      </c>
      <c r="D218" s="373" t="e">
        <f>SUM(D201:D217)</f>
        <v>#REF!</v>
      </c>
      <c r="E218" s="373" t="e">
        <f>SUM(E201:E217)</f>
        <v>#REF!</v>
      </c>
      <c r="F218" s="373"/>
      <c r="G218" s="390"/>
    </row>
    <row r="219" spans="2:11">
      <c r="F219" s="391"/>
      <c r="G219" s="391"/>
    </row>
    <row r="220" spans="2:11" ht="14.25" thickBot="1">
      <c r="B220" s="298" t="s">
        <v>332</v>
      </c>
      <c r="C220" s="391"/>
      <c r="D220" s="391"/>
      <c r="E220" s="391"/>
      <c r="F220" s="391"/>
      <c r="G220" s="391"/>
    </row>
    <row r="221" spans="2:11" ht="27.75">
      <c r="B221" s="469" t="s">
        <v>333</v>
      </c>
      <c r="C221" s="357" t="s">
        <v>139</v>
      </c>
      <c r="D221" s="358" t="s">
        <v>231</v>
      </c>
      <c r="E221" s="374" t="s">
        <v>140</v>
      </c>
      <c r="F221" s="357" t="s">
        <v>140</v>
      </c>
      <c r="G221" s="357" t="s">
        <v>140</v>
      </c>
    </row>
    <row r="222" spans="2:11" ht="13.9">
      <c r="B222" s="470"/>
      <c r="C222" s="296" t="s">
        <v>127</v>
      </c>
      <c r="D222" s="291" t="s">
        <v>128</v>
      </c>
      <c r="E222" s="375" t="s">
        <v>129</v>
      </c>
      <c r="F222" s="296" t="s">
        <v>130</v>
      </c>
      <c r="G222" s="296" t="s">
        <v>635</v>
      </c>
    </row>
    <row r="223" spans="2:11" ht="14.25" thickBot="1">
      <c r="B223" s="471"/>
      <c r="C223" s="303" t="s">
        <v>40</v>
      </c>
      <c r="D223" s="304" t="s">
        <v>40</v>
      </c>
      <c r="E223" s="349" t="s">
        <v>40</v>
      </c>
      <c r="F223" s="303" t="s">
        <v>40</v>
      </c>
      <c r="G223" s="303" t="s">
        <v>40</v>
      </c>
    </row>
    <row r="224" spans="2:11">
      <c r="B224" s="343" t="s">
        <v>141</v>
      </c>
      <c r="C224" s="306">
        <v>942.09944085999996</v>
      </c>
      <c r="D224" s="293">
        <v>157.30000000000001</v>
      </c>
      <c r="E224" s="306">
        <v>220.19</v>
      </c>
      <c r="F224" s="306">
        <v>86</v>
      </c>
      <c r="G224" s="306">
        <v>33.17</v>
      </c>
      <c r="H224" s="351">
        <f>SUM(C224:G227)+SUM(C229:G231)+SUM(C233:G233)</f>
        <v>6902.8418885266665</v>
      </c>
      <c r="I224" s="351" t="s">
        <v>688</v>
      </c>
      <c r="K224" s="351">
        <f t="shared" ref="K224:K243" si="17">D224-C224</f>
        <v>-784.79944086</v>
      </c>
    </row>
    <row r="225" spans="2:11">
      <c r="B225" s="343" t="s">
        <v>144</v>
      </c>
      <c r="C225" s="306">
        <v>58.51</v>
      </c>
      <c r="D225" s="293">
        <v>685.84</v>
      </c>
      <c r="E225" s="306">
        <v>709.61</v>
      </c>
      <c r="F225" s="306">
        <v>1127.19</v>
      </c>
      <c r="G225" s="306">
        <v>518.29</v>
      </c>
      <c r="K225" s="351">
        <f t="shared" si="17"/>
        <v>627.33000000000004</v>
      </c>
    </row>
    <row r="226" spans="2:11">
      <c r="B226" s="343" t="s">
        <v>155</v>
      </c>
      <c r="C226" s="306">
        <v>263.2</v>
      </c>
      <c r="D226" s="293">
        <v>372</v>
      </c>
      <c r="E226" s="306">
        <v>421</v>
      </c>
      <c r="F226" s="306">
        <v>400</v>
      </c>
      <c r="G226" s="306">
        <v>400</v>
      </c>
      <c r="H226" s="306"/>
      <c r="K226" s="351">
        <f t="shared" si="17"/>
        <v>108.80000000000001</v>
      </c>
    </row>
    <row r="227" spans="2:11">
      <c r="B227" s="343" t="s">
        <v>142</v>
      </c>
      <c r="C227" s="306">
        <v>4.07</v>
      </c>
      <c r="D227" s="293">
        <v>15.75</v>
      </c>
      <c r="E227" s="306">
        <v>4.0920000000000005</v>
      </c>
      <c r="F227" s="306">
        <v>1.5889280000000003</v>
      </c>
      <c r="G227" s="306">
        <v>5.95</v>
      </c>
      <c r="H227" s="306"/>
      <c r="K227" s="351">
        <f t="shared" si="17"/>
        <v>11.68</v>
      </c>
    </row>
    <row r="228" spans="2:11">
      <c r="B228" s="343" t="s">
        <v>15</v>
      </c>
      <c r="C228" s="306">
        <v>13.58</v>
      </c>
      <c r="D228" s="293">
        <v>9.4</v>
      </c>
      <c r="E228" s="306">
        <v>0</v>
      </c>
      <c r="F228" s="306">
        <v>0</v>
      </c>
      <c r="G228" s="306">
        <v>0</v>
      </c>
      <c r="H228" s="306"/>
      <c r="K228" s="351">
        <f t="shared" si="17"/>
        <v>-4.18</v>
      </c>
    </row>
    <row r="229" spans="2:11">
      <c r="B229" s="343" t="s">
        <v>148</v>
      </c>
      <c r="C229" s="306">
        <v>23.926007999999999</v>
      </c>
      <c r="D229" s="293">
        <v>70.81145166666667</v>
      </c>
      <c r="E229" s="306">
        <v>39.816000000000003</v>
      </c>
      <c r="F229" s="306">
        <v>0</v>
      </c>
      <c r="G229" s="306">
        <v>3.84</v>
      </c>
      <c r="H229" s="306"/>
      <c r="K229" s="351">
        <f t="shared" si="17"/>
        <v>46.885443666666674</v>
      </c>
    </row>
    <row r="230" spans="2:11">
      <c r="B230" s="343" t="s">
        <v>162</v>
      </c>
      <c r="C230" s="306">
        <v>12.64</v>
      </c>
      <c r="D230" s="293">
        <v>18.18</v>
      </c>
      <c r="E230" s="306">
        <v>0</v>
      </c>
      <c r="F230" s="306">
        <v>0</v>
      </c>
      <c r="G230" s="306">
        <v>0</v>
      </c>
      <c r="H230" s="306"/>
      <c r="K230" s="351">
        <f t="shared" si="17"/>
        <v>5.5399999999999991</v>
      </c>
    </row>
    <row r="231" spans="2:11">
      <c r="B231" s="343" t="s">
        <v>149</v>
      </c>
      <c r="C231" s="306">
        <v>29.4847</v>
      </c>
      <c r="D231" s="293">
        <v>44.66</v>
      </c>
      <c r="E231" s="306">
        <v>91.1</v>
      </c>
      <c r="F231" s="306">
        <v>37.78436</v>
      </c>
      <c r="G231" s="306">
        <v>67.23</v>
      </c>
      <c r="H231" s="306"/>
      <c r="K231" s="351">
        <f t="shared" si="17"/>
        <v>15.175299999999996</v>
      </c>
    </row>
    <row r="232" spans="2:11">
      <c r="B232" s="343" t="s">
        <v>161</v>
      </c>
      <c r="C232" s="306">
        <v>10.656349000000001</v>
      </c>
      <c r="D232" s="293">
        <v>1.5073249999999998</v>
      </c>
      <c r="E232" s="306">
        <v>0</v>
      </c>
      <c r="F232" s="306">
        <v>0</v>
      </c>
      <c r="G232" s="306">
        <v>0</v>
      </c>
      <c r="H232" s="306"/>
      <c r="K232" s="351">
        <f t="shared" si="17"/>
        <v>-9.1490240000000007</v>
      </c>
    </row>
    <row r="233" spans="2:11">
      <c r="B233" s="343" t="s">
        <v>334</v>
      </c>
      <c r="C233" s="306">
        <v>37.518999999999998</v>
      </c>
      <c r="D233" s="293">
        <v>0</v>
      </c>
      <c r="E233" s="306">
        <v>0</v>
      </c>
      <c r="F233" s="306">
        <v>0</v>
      </c>
      <c r="G233" s="306">
        <v>0</v>
      </c>
      <c r="H233" s="306"/>
      <c r="K233" s="351">
        <f t="shared" si="17"/>
        <v>-37.518999999999998</v>
      </c>
    </row>
    <row r="234" spans="2:11">
      <c r="B234" s="343" t="s">
        <v>173</v>
      </c>
      <c r="C234" s="306">
        <v>10</v>
      </c>
      <c r="D234" s="293">
        <v>18.003</v>
      </c>
      <c r="E234" s="306">
        <v>20.92</v>
      </c>
      <c r="F234" s="306">
        <v>4.87</v>
      </c>
      <c r="G234" s="306">
        <v>0</v>
      </c>
      <c r="H234" s="306"/>
      <c r="K234" s="351">
        <f t="shared" si="17"/>
        <v>8.0030000000000001</v>
      </c>
    </row>
    <row r="235" spans="2:11">
      <c r="B235" s="343" t="s">
        <v>116</v>
      </c>
      <c r="C235" s="306">
        <v>319.5</v>
      </c>
      <c r="D235" s="293">
        <v>0</v>
      </c>
      <c r="E235" s="306">
        <v>0</v>
      </c>
      <c r="F235" s="306">
        <v>0</v>
      </c>
      <c r="G235" s="306">
        <v>0</v>
      </c>
      <c r="H235" s="306">
        <f>SUM(C235:G235)</f>
        <v>319.5</v>
      </c>
      <c r="I235" s="351" t="s">
        <v>689</v>
      </c>
      <c r="K235" s="351">
        <f t="shared" si="17"/>
        <v>-319.5</v>
      </c>
    </row>
    <row r="236" spans="2:11">
      <c r="B236" s="343" t="s">
        <v>222</v>
      </c>
      <c r="C236" s="306">
        <v>17.3</v>
      </c>
      <c r="D236" s="293">
        <v>4.8</v>
      </c>
      <c r="E236" s="306">
        <v>4.8</v>
      </c>
      <c r="F236" s="306">
        <v>2.08</v>
      </c>
      <c r="G236" s="306">
        <v>2.08</v>
      </c>
      <c r="H236" s="306"/>
      <c r="K236" s="351">
        <f t="shared" si="17"/>
        <v>-12.5</v>
      </c>
    </row>
    <row r="237" spans="2:11">
      <c r="B237" s="343" t="s">
        <v>335</v>
      </c>
      <c r="C237" s="306">
        <v>3.5270000000000001</v>
      </c>
      <c r="D237" s="293">
        <v>19.25</v>
      </c>
      <c r="E237" s="306">
        <v>22.0838505</v>
      </c>
      <c r="F237" s="306">
        <v>17.54080694</v>
      </c>
      <c r="G237" s="306">
        <v>28.497777750000001</v>
      </c>
      <c r="H237" s="306"/>
      <c r="K237" s="351">
        <f t="shared" si="17"/>
        <v>15.722999999999999</v>
      </c>
    </row>
    <row r="238" spans="2:11">
      <c r="B238" s="343" t="s">
        <v>115</v>
      </c>
      <c r="C238" s="306">
        <v>7.5</v>
      </c>
      <c r="D238" s="293">
        <v>0</v>
      </c>
      <c r="E238" s="306">
        <v>0</v>
      </c>
      <c r="F238" s="306">
        <v>0</v>
      </c>
      <c r="G238" s="306">
        <v>0</v>
      </c>
      <c r="H238" s="306">
        <f>SUM(C238:G242)</f>
        <v>495.99999999999994</v>
      </c>
      <c r="I238" s="351" t="s">
        <v>690</v>
      </c>
      <c r="K238" s="351">
        <f t="shared" si="17"/>
        <v>-7.5</v>
      </c>
    </row>
    <row r="239" spans="2:11">
      <c r="B239" s="343" t="s">
        <v>226</v>
      </c>
      <c r="C239" s="306">
        <v>108.7</v>
      </c>
      <c r="D239" s="293">
        <v>49</v>
      </c>
      <c r="E239" s="306">
        <v>0.1</v>
      </c>
      <c r="F239" s="306">
        <v>5</v>
      </c>
      <c r="G239" s="306">
        <v>32.9</v>
      </c>
      <c r="H239" s="306"/>
      <c r="K239" s="351">
        <f t="shared" si="17"/>
        <v>-59.7</v>
      </c>
    </row>
    <row r="240" spans="2:11">
      <c r="B240" s="343" t="s">
        <v>336</v>
      </c>
      <c r="C240" s="306">
        <v>3.1</v>
      </c>
      <c r="D240" s="293">
        <v>23.5</v>
      </c>
      <c r="E240" s="306">
        <v>7.9</v>
      </c>
      <c r="F240" s="306">
        <v>11.1</v>
      </c>
      <c r="G240" s="306">
        <v>22</v>
      </c>
      <c r="H240" s="376" t="s">
        <v>718</v>
      </c>
      <c r="I240" s="392"/>
      <c r="J240" s="392"/>
      <c r="K240" s="351">
        <f t="shared" si="17"/>
        <v>20.399999999999999</v>
      </c>
    </row>
    <row r="241" spans="2:11">
      <c r="B241" s="343" t="s">
        <v>223</v>
      </c>
      <c r="C241" s="306">
        <v>98.2</v>
      </c>
      <c r="D241" s="293">
        <v>-0.8</v>
      </c>
      <c r="E241" s="306">
        <v>30</v>
      </c>
      <c r="F241" s="306">
        <v>8</v>
      </c>
      <c r="G241" s="306">
        <v>4.8</v>
      </c>
      <c r="H241" s="376" t="s">
        <v>718</v>
      </c>
      <c r="I241" s="392"/>
      <c r="J241" s="392"/>
      <c r="K241" s="351">
        <f t="shared" si="17"/>
        <v>-99</v>
      </c>
    </row>
    <row r="242" spans="2:11">
      <c r="B242" s="343" t="s">
        <v>224</v>
      </c>
      <c r="C242" s="306">
        <v>85</v>
      </c>
      <c r="D242" s="293">
        <v>0</v>
      </c>
      <c r="E242" s="306">
        <v>0</v>
      </c>
      <c r="F242" s="306">
        <v>0</v>
      </c>
      <c r="G242" s="306">
        <v>0</v>
      </c>
      <c r="H242" s="377"/>
      <c r="K242" s="351">
        <f t="shared" si="17"/>
        <v>-85</v>
      </c>
    </row>
    <row r="243" spans="2:11" ht="13.9" thickBot="1">
      <c r="B243" s="343" t="s">
        <v>146</v>
      </c>
      <c r="C243" s="306">
        <f>61.63493516+9</f>
        <v>70.634935159999998</v>
      </c>
      <c r="D243" s="293">
        <v>36.573577999999998</v>
      </c>
      <c r="E243" s="306">
        <v>18.352</v>
      </c>
      <c r="F243" s="306">
        <v>5.08</v>
      </c>
      <c r="G243" s="306">
        <v>3.31</v>
      </c>
      <c r="H243" s="306"/>
      <c r="K243" s="351">
        <f t="shared" si="17"/>
        <v>-34.06135716</v>
      </c>
    </row>
    <row r="244" spans="2:11" ht="14.25" thickBot="1">
      <c r="B244" s="337" t="s">
        <v>337</v>
      </c>
      <c r="C244" s="378">
        <f>SUM(C224:C243)</f>
        <v>2119.1474330199999</v>
      </c>
      <c r="D244" s="336">
        <f>SUM(D224:D243)</f>
        <v>1525.775354666667</v>
      </c>
      <c r="E244" s="378">
        <f>SUM(E224:E243)</f>
        <v>1589.9638505</v>
      </c>
      <c r="F244" s="379">
        <f>SUM(F224:F243)</f>
        <v>1706.2340949399997</v>
      </c>
      <c r="G244" s="379">
        <f>SUM(G224:G243)</f>
        <v>1122.06777775</v>
      </c>
      <c r="H244" s="351">
        <f>SUM(C244:G244)-SUM(H224:H238)</f>
        <v>344.84662235000087</v>
      </c>
      <c r="I244" s="351" t="s">
        <v>691</v>
      </c>
    </row>
    <row r="245" spans="2:11">
      <c r="B245" s="343" t="s">
        <v>338</v>
      </c>
      <c r="C245" s="306">
        <f>431.827-48.5</f>
        <v>383.327</v>
      </c>
      <c r="D245" s="293">
        <v>41.9500000000005</v>
      </c>
      <c r="E245" s="306">
        <v>59.983850499999789</v>
      </c>
      <c r="F245" s="306">
        <v>36.639734939999698</v>
      </c>
      <c r="G245" s="306">
        <v>55.297777750000023</v>
      </c>
    </row>
    <row r="246" spans="2:11">
      <c r="B246" s="343" t="s">
        <v>339</v>
      </c>
      <c r="C246" s="306">
        <v>1519.45340786</v>
      </c>
      <c r="D246" s="293">
        <v>1419.7663546666665</v>
      </c>
      <c r="E246" s="306">
        <v>1527.2880000000002</v>
      </c>
      <c r="F246" s="306">
        <v>1662.63436</v>
      </c>
      <c r="G246" s="306">
        <v>1030.56</v>
      </c>
    </row>
    <row r="247" spans="2:11">
      <c r="B247" s="343" t="s">
        <v>340</v>
      </c>
      <c r="C247" s="306">
        <v>9.4220251600000005</v>
      </c>
      <c r="D247" s="293">
        <v>0</v>
      </c>
      <c r="E247" s="306">
        <v>0</v>
      </c>
      <c r="F247" s="306">
        <v>0</v>
      </c>
      <c r="G247" s="306">
        <v>0</v>
      </c>
    </row>
    <row r="248" spans="2:11" ht="13.9" thickBot="1">
      <c r="B248" s="343" t="s">
        <v>341</v>
      </c>
      <c r="C248" s="306">
        <f>149.445+48.5+9</f>
        <v>206.94499999999999</v>
      </c>
      <c r="D248" s="293">
        <v>64.058999999999997</v>
      </c>
      <c r="E248" s="306">
        <v>2.6920000000000002</v>
      </c>
      <c r="F248" s="306">
        <v>6.96</v>
      </c>
      <c r="G248" s="306">
        <v>36.21</v>
      </c>
      <c r="H248" s="351" t="s">
        <v>709</v>
      </c>
    </row>
    <row r="249" spans="2:11" ht="14.25" thickBot="1">
      <c r="B249" s="337" t="s">
        <v>342</v>
      </c>
      <c r="C249" s="379">
        <f>SUM(C245:C248)</f>
        <v>2119.1474330199999</v>
      </c>
      <c r="D249" s="336">
        <f t="shared" ref="D249:G249" si="18">SUM(D245:D248)</f>
        <v>1525.775354666667</v>
      </c>
      <c r="E249" s="378">
        <f t="shared" si="18"/>
        <v>1589.9638505</v>
      </c>
      <c r="F249" s="379">
        <f t="shared" si="18"/>
        <v>1706.2340949399997</v>
      </c>
      <c r="G249" s="379">
        <f t="shared" si="18"/>
        <v>1122.06777775</v>
      </c>
    </row>
    <row r="250" spans="2:11" ht="13.9">
      <c r="B250" s="334" t="s">
        <v>343</v>
      </c>
      <c r="C250" s="390">
        <f>C244-C249</f>
        <v>0</v>
      </c>
      <c r="D250" s="390">
        <f t="shared" ref="D250:G250" si="19">D244-D249</f>
        <v>0</v>
      </c>
      <c r="E250" s="390">
        <f t="shared" si="19"/>
        <v>0</v>
      </c>
      <c r="F250" s="390">
        <f t="shared" si="19"/>
        <v>0</v>
      </c>
      <c r="G250" s="390">
        <f t="shared" si="19"/>
        <v>0</v>
      </c>
    </row>
    <row r="253" spans="2:11" ht="14.25" thickBot="1">
      <c r="B253" s="298" t="s">
        <v>344</v>
      </c>
      <c r="C253" s="398"/>
      <c r="D253" s="398"/>
      <c r="E253" s="398"/>
      <c r="F253" s="398"/>
    </row>
    <row r="254" spans="2:11" ht="13.9">
      <c r="B254" s="472" t="s">
        <v>345</v>
      </c>
      <c r="C254" s="340" t="s">
        <v>128</v>
      </c>
      <c r="D254" s="380" t="s">
        <v>129</v>
      </c>
      <c r="E254" s="380" t="s">
        <v>130</v>
      </c>
    </row>
    <row r="255" spans="2:11" ht="14.25" thickBot="1">
      <c r="B255" s="473"/>
      <c r="C255" s="342" t="s">
        <v>40</v>
      </c>
      <c r="D255" s="381" t="s">
        <v>40</v>
      </c>
      <c r="E255" s="381" t="s">
        <v>40</v>
      </c>
    </row>
    <row r="256" spans="2:11">
      <c r="B256" s="343" t="s">
        <v>346</v>
      </c>
      <c r="C256" s="293">
        <v>274</v>
      </c>
      <c r="D256" s="306">
        <v>254</v>
      </c>
      <c r="E256" s="306">
        <v>329</v>
      </c>
    </row>
    <row r="257" spans="2:9" ht="13.9" thickBot="1">
      <c r="B257" s="382" t="s">
        <v>347</v>
      </c>
      <c r="C257" s="383">
        <f>C124+C125+C126</f>
        <v>153.4</v>
      </c>
      <c r="D257" s="384">
        <f>D124+D125+D126</f>
        <v>153.32</v>
      </c>
      <c r="E257" s="384">
        <f>E124+E125+E126</f>
        <v>151.80000000000001</v>
      </c>
    </row>
    <row r="258" spans="2:9" ht="14.25" thickBot="1">
      <c r="B258" s="385" t="s">
        <v>0</v>
      </c>
      <c r="C258" s="342">
        <f>+C257+C256</f>
        <v>427.4</v>
      </c>
      <c r="D258" s="341">
        <f>+D257+D256</f>
        <v>407.32</v>
      </c>
      <c r="E258" s="341">
        <f>+E257+E256</f>
        <v>480.8</v>
      </c>
    </row>
    <row r="261" spans="2:9" ht="14.25" thickBot="1">
      <c r="B261" s="298" t="s">
        <v>348</v>
      </c>
      <c r="C261" s="391"/>
      <c r="D261" s="391"/>
      <c r="E261" s="391"/>
      <c r="F261" s="391"/>
      <c r="G261" s="391"/>
    </row>
    <row r="262" spans="2:9" ht="27.75">
      <c r="B262" s="472" t="s">
        <v>349</v>
      </c>
      <c r="C262" s="380" t="s">
        <v>350</v>
      </c>
      <c r="D262" s="380" t="s">
        <v>351</v>
      </c>
      <c r="E262" s="340" t="s">
        <v>236</v>
      </c>
      <c r="F262" s="380" t="s">
        <v>236</v>
      </c>
      <c r="G262" s="380" t="s">
        <v>236</v>
      </c>
    </row>
    <row r="263" spans="2:9" ht="13.9">
      <c r="B263" s="470"/>
      <c r="C263" s="386" t="s">
        <v>127</v>
      </c>
      <c r="D263" s="386" t="s">
        <v>127</v>
      </c>
      <c r="E263" s="387" t="s">
        <v>128</v>
      </c>
      <c r="F263" s="386" t="s">
        <v>129</v>
      </c>
      <c r="G263" s="386" t="s">
        <v>130</v>
      </c>
    </row>
    <row r="264" spans="2:9" ht="14.25" thickBot="1">
      <c r="B264" s="473"/>
      <c r="C264" s="381" t="s">
        <v>40</v>
      </c>
      <c r="D264" s="381" t="s">
        <v>40</v>
      </c>
      <c r="E264" s="342" t="s">
        <v>40</v>
      </c>
      <c r="F264" s="381" t="s">
        <v>40</v>
      </c>
      <c r="G264" s="381" t="s">
        <v>40</v>
      </c>
    </row>
    <row r="265" spans="2:9">
      <c r="B265" s="343" t="s">
        <v>352</v>
      </c>
      <c r="C265" s="306">
        <v>7200</v>
      </c>
      <c r="D265" s="306">
        <v>7200</v>
      </c>
      <c r="E265" s="293">
        <v>7200</v>
      </c>
      <c r="F265" s="306">
        <v>7200</v>
      </c>
      <c r="G265" s="306">
        <v>7200</v>
      </c>
      <c r="I265" s="306"/>
    </row>
    <row r="266" spans="2:9" ht="13.9" thickBot="1">
      <c r="B266" s="382" t="s">
        <v>353</v>
      </c>
      <c r="C266" s="384">
        <v>0</v>
      </c>
      <c r="D266" s="384">
        <v>0</v>
      </c>
      <c r="E266" s="383">
        <v>0</v>
      </c>
      <c r="F266" s="384">
        <v>0</v>
      </c>
      <c r="G266" s="384">
        <v>0</v>
      </c>
      <c r="I266" s="306"/>
    </row>
    <row r="267" spans="2:9" ht="14.25" thickBot="1">
      <c r="B267" s="385" t="s">
        <v>0</v>
      </c>
      <c r="C267" s="381">
        <f>SUM(C265:C266)</f>
        <v>7200</v>
      </c>
      <c r="D267" s="381">
        <f t="shared" ref="D267:G267" si="20">SUM(D265:D266)</f>
        <v>7200</v>
      </c>
      <c r="E267" s="342">
        <f t="shared" si="20"/>
        <v>7200</v>
      </c>
      <c r="F267" s="381">
        <f t="shared" si="20"/>
        <v>7200</v>
      </c>
      <c r="G267" s="381">
        <f t="shared" si="20"/>
        <v>7200</v>
      </c>
    </row>
    <row r="270" spans="2:9" ht="14.25" thickBot="1">
      <c r="B270" s="298" t="s">
        <v>354</v>
      </c>
      <c r="C270" s="391"/>
      <c r="D270" s="391"/>
      <c r="E270" s="391"/>
      <c r="F270" s="391"/>
      <c r="G270" s="391"/>
    </row>
    <row r="271" spans="2:9" ht="27.75">
      <c r="B271" s="472" t="s">
        <v>355</v>
      </c>
      <c r="C271" s="380" t="s">
        <v>350</v>
      </c>
      <c r="D271" s="380" t="s">
        <v>351</v>
      </c>
      <c r="E271" s="340" t="s">
        <v>236</v>
      </c>
      <c r="F271" s="380" t="s">
        <v>236</v>
      </c>
      <c r="G271" s="380" t="s">
        <v>236</v>
      </c>
    </row>
    <row r="272" spans="2:9" ht="13.9">
      <c r="B272" s="470"/>
      <c r="C272" s="386" t="s">
        <v>127</v>
      </c>
      <c r="D272" s="386" t="s">
        <v>127</v>
      </c>
      <c r="E272" s="387" t="s">
        <v>128</v>
      </c>
      <c r="F272" s="386" t="s">
        <v>129</v>
      </c>
      <c r="G272" s="386" t="s">
        <v>130</v>
      </c>
    </row>
    <row r="273" spans="2:9" ht="14.25" thickBot="1">
      <c r="B273" s="473"/>
      <c r="C273" s="381" t="s">
        <v>40</v>
      </c>
      <c r="D273" s="381" t="s">
        <v>40</v>
      </c>
      <c r="E273" s="342" t="s">
        <v>40</v>
      </c>
      <c r="F273" s="381" t="s">
        <v>40</v>
      </c>
      <c r="G273" s="381" t="s">
        <v>40</v>
      </c>
    </row>
    <row r="274" spans="2:9">
      <c r="B274" s="343" t="s">
        <v>352</v>
      </c>
      <c r="C274" s="306">
        <v>6800</v>
      </c>
      <c r="D274" s="306">
        <v>6800</v>
      </c>
      <c r="E274" s="293">
        <v>6800</v>
      </c>
      <c r="F274" s="306">
        <v>6800</v>
      </c>
      <c r="G274" s="306">
        <v>6800</v>
      </c>
      <c r="I274" s="306"/>
    </row>
    <row r="275" spans="2:9" ht="13.9" thickBot="1">
      <c r="B275" s="382" t="s">
        <v>353</v>
      </c>
      <c r="C275" s="384">
        <v>0</v>
      </c>
      <c r="D275" s="384">
        <v>0</v>
      </c>
      <c r="E275" s="383">
        <v>0</v>
      </c>
      <c r="F275" s="384">
        <v>0</v>
      </c>
      <c r="G275" s="384">
        <v>0</v>
      </c>
      <c r="I275" s="306"/>
    </row>
    <row r="276" spans="2:9" ht="14.25" thickBot="1">
      <c r="B276" s="385" t="s">
        <v>0</v>
      </c>
      <c r="C276" s="381">
        <f>SUM(C274:C275)</f>
        <v>6800</v>
      </c>
      <c r="D276" s="381">
        <f t="shared" ref="D276:G276" si="21">SUM(D274:D275)</f>
        <v>6800</v>
      </c>
      <c r="E276" s="342">
        <f t="shared" si="21"/>
        <v>6800</v>
      </c>
      <c r="F276" s="381">
        <f t="shared" si="21"/>
        <v>6800</v>
      </c>
      <c r="G276" s="381">
        <f t="shared" si="21"/>
        <v>6800</v>
      </c>
    </row>
    <row r="279" spans="2:9" ht="13.9" thickBot="1"/>
    <row r="280" spans="2:9" ht="41.65">
      <c r="B280" s="474" t="s">
        <v>646</v>
      </c>
      <c r="C280" s="399" t="s">
        <v>356</v>
      </c>
      <c r="D280" s="477" t="s">
        <v>357</v>
      </c>
      <c r="E280" s="400" t="s">
        <v>358</v>
      </c>
      <c r="F280" s="401" t="s">
        <v>358</v>
      </c>
      <c r="G280" s="401" t="s">
        <v>358</v>
      </c>
    </row>
    <row r="281" spans="2:9" ht="13.9">
      <c r="B281" s="475"/>
      <c r="C281" s="402" t="s">
        <v>359</v>
      </c>
      <c r="D281" s="478"/>
      <c r="E281" s="387" t="s">
        <v>231</v>
      </c>
      <c r="F281" s="403" t="s">
        <v>140</v>
      </c>
      <c r="G281" s="403" t="s">
        <v>140</v>
      </c>
    </row>
    <row r="282" spans="2:9" ht="13.9">
      <c r="B282" s="475"/>
      <c r="C282" s="402" t="s">
        <v>128</v>
      </c>
      <c r="D282" s="402" t="s">
        <v>128</v>
      </c>
      <c r="E282" s="402" t="s">
        <v>128</v>
      </c>
      <c r="F282" s="404" t="s">
        <v>129</v>
      </c>
      <c r="G282" s="404" t="s">
        <v>130</v>
      </c>
    </row>
    <row r="283" spans="2:9" ht="14.25" thickBot="1">
      <c r="B283" s="476"/>
      <c r="C283" s="405" t="s">
        <v>40</v>
      </c>
      <c r="D283" s="406" t="s">
        <v>40</v>
      </c>
      <c r="E283" s="406" t="s">
        <v>40</v>
      </c>
      <c r="F283" s="407" t="s">
        <v>40</v>
      </c>
      <c r="G283" s="407" t="s">
        <v>40</v>
      </c>
    </row>
    <row r="284" spans="2:9" ht="13.9">
      <c r="B284" s="289" t="s">
        <v>360</v>
      </c>
      <c r="C284" s="408"/>
      <c r="D284" s="409"/>
      <c r="E284" s="409"/>
      <c r="F284" s="410"/>
      <c r="G284" s="410"/>
    </row>
    <row r="285" spans="2:9" ht="13.9">
      <c r="B285" s="292" t="s">
        <v>361</v>
      </c>
      <c r="C285" s="293">
        <v>33.898000000000003</v>
      </c>
      <c r="D285" s="293">
        <v>-6.085</v>
      </c>
      <c r="E285" s="291">
        <f>C285+D285</f>
        <v>27.813000000000002</v>
      </c>
      <c r="F285" s="290">
        <v>23.881</v>
      </c>
      <c r="G285" s="290">
        <v>19.768999999999998</v>
      </c>
    </row>
    <row r="286" spans="2:9" ht="13.9">
      <c r="B286" s="292" t="s">
        <v>648</v>
      </c>
      <c r="C286" s="293">
        <v>87.805999999999997</v>
      </c>
      <c r="D286" s="293">
        <v>-68.414000000000001</v>
      </c>
      <c r="E286" s="291">
        <f t="shared" ref="E286:E293" si="22">C286+D286</f>
        <v>19.391999999999996</v>
      </c>
      <c r="F286" s="290">
        <v>14.885999999999996</v>
      </c>
      <c r="G286" s="290">
        <v>14.591000000000005</v>
      </c>
    </row>
    <row r="287" spans="2:9" ht="13.9">
      <c r="B287" s="292" t="s">
        <v>649</v>
      </c>
      <c r="C287" s="293">
        <v>9.1989999999999998</v>
      </c>
      <c r="D287" s="293">
        <v>-6.86</v>
      </c>
      <c r="E287" s="291">
        <f t="shared" si="22"/>
        <v>2.3389999999999995</v>
      </c>
      <c r="F287" s="290">
        <v>1.444</v>
      </c>
      <c r="G287" s="290">
        <v>1.4530000000000003</v>
      </c>
    </row>
    <row r="288" spans="2:9" ht="13.9">
      <c r="B288" s="292" t="s">
        <v>650</v>
      </c>
      <c r="C288" s="293">
        <v>46.131</v>
      </c>
      <c r="D288" s="293">
        <v>-39.573</v>
      </c>
      <c r="E288" s="291">
        <f t="shared" si="22"/>
        <v>6.5579999999999998</v>
      </c>
      <c r="F288" s="290">
        <v>3.1330000000000027</v>
      </c>
      <c r="G288" s="290">
        <v>3.0409999999999968</v>
      </c>
    </row>
    <row r="289" spans="2:7" ht="13.9">
      <c r="B289" s="292" t="s">
        <v>651</v>
      </c>
      <c r="C289" s="293">
        <v>253.108925</v>
      </c>
      <c r="D289" s="293">
        <v>-246.29949999999999</v>
      </c>
      <c r="E289" s="291">
        <f t="shared" si="22"/>
        <v>6.8094250000000045</v>
      </c>
      <c r="F289" s="290">
        <v>7.3899250000000052</v>
      </c>
      <c r="G289" s="290">
        <v>7.4479249999999979</v>
      </c>
    </row>
    <row r="290" spans="2:7" ht="13.9">
      <c r="B290" s="292" t="s">
        <v>652</v>
      </c>
      <c r="C290" s="293">
        <v>19.597000000000001</v>
      </c>
      <c r="D290" s="293">
        <v>-18.87</v>
      </c>
      <c r="E290" s="291">
        <f t="shared" si="22"/>
        <v>0.72700000000000031</v>
      </c>
      <c r="F290" s="290">
        <v>0.7309999999999981</v>
      </c>
      <c r="G290" s="290">
        <v>0.73499999999999943</v>
      </c>
    </row>
    <row r="291" spans="2:7" ht="13.9">
      <c r="B291" s="292" t="s">
        <v>653</v>
      </c>
      <c r="C291" s="293">
        <v>23.367000000000001</v>
      </c>
      <c r="D291" s="293">
        <v>-22.2</v>
      </c>
      <c r="E291" s="291">
        <f t="shared" si="22"/>
        <v>1.1670000000000016</v>
      </c>
      <c r="F291" s="290">
        <v>1.0670000000000002</v>
      </c>
      <c r="G291" s="290">
        <v>0.76699999999999946</v>
      </c>
    </row>
    <row r="292" spans="2:7" ht="13.9">
      <c r="B292" s="292" t="s">
        <v>362</v>
      </c>
      <c r="C292" s="293">
        <v>20.25</v>
      </c>
      <c r="D292" s="293">
        <v>-18.850000000000001</v>
      </c>
      <c r="E292" s="291">
        <f t="shared" si="22"/>
        <v>1.3999999999999986</v>
      </c>
      <c r="F292" s="290">
        <v>1.093</v>
      </c>
      <c r="G292" s="290">
        <v>1.0960000000000001</v>
      </c>
    </row>
    <row r="293" spans="2:7" ht="13.9">
      <c r="B293" s="292" t="s">
        <v>654</v>
      </c>
      <c r="C293" s="293">
        <v>32.344000000000001</v>
      </c>
      <c r="D293" s="293">
        <v>-29.3</v>
      </c>
      <c r="E293" s="291">
        <f t="shared" si="22"/>
        <v>3.0440000000000005</v>
      </c>
      <c r="F293" s="290">
        <v>3.0820000000000007</v>
      </c>
      <c r="G293" s="290">
        <v>2.7715748008262011</v>
      </c>
    </row>
    <row r="294" spans="2:7" ht="13.9">
      <c r="B294" s="292" t="s">
        <v>655</v>
      </c>
      <c r="C294" s="293"/>
      <c r="D294" s="293"/>
      <c r="E294" s="291"/>
      <c r="F294" s="290"/>
      <c r="G294" s="290"/>
    </row>
    <row r="295" spans="2:7" ht="13.9">
      <c r="B295" s="289" t="s">
        <v>363</v>
      </c>
      <c r="C295" s="293"/>
      <c r="D295" s="293"/>
      <c r="E295" s="291"/>
      <c r="F295" s="290"/>
      <c r="G295" s="290"/>
    </row>
    <row r="296" spans="2:7" ht="13.9">
      <c r="B296" s="292" t="s">
        <v>364</v>
      </c>
      <c r="C296" s="293">
        <v>2.2959999999999998</v>
      </c>
      <c r="D296" s="293">
        <v>-0.1</v>
      </c>
      <c r="E296" s="291">
        <f t="shared" ref="E296:E303" si="23">C296+D296</f>
        <v>2.1959999999999997</v>
      </c>
      <c r="F296" s="290">
        <v>1.6639999999999999</v>
      </c>
      <c r="G296" s="290">
        <v>1.6679999999999999</v>
      </c>
    </row>
    <row r="297" spans="2:7" ht="13.9">
      <c r="B297" s="292" t="s">
        <v>656</v>
      </c>
      <c r="C297" s="293">
        <v>2.88</v>
      </c>
      <c r="D297" s="293">
        <v>-0.24</v>
      </c>
      <c r="E297" s="291">
        <f t="shared" si="23"/>
        <v>2.6399999999999997</v>
      </c>
      <c r="F297" s="290">
        <v>2.6549999999999998</v>
      </c>
      <c r="G297" s="290">
        <v>2.673</v>
      </c>
    </row>
    <row r="298" spans="2:7" ht="13.9">
      <c r="B298" s="292" t="s">
        <v>657</v>
      </c>
      <c r="C298" s="293">
        <v>2.9455</v>
      </c>
      <c r="D298" s="293">
        <v>0</v>
      </c>
      <c r="E298" s="291">
        <f t="shared" si="23"/>
        <v>2.9455</v>
      </c>
      <c r="F298" s="290">
        <v>1.5575000000000001</v>
      </c>
      <c r="G298" s="290">
        <v>1.4650000000000001</v>
      </c>
    </row>
    <row r="299" spans="2:7" ht="13.9">
      <c r="B299" s="292" t="s">
        <v>658</v>
      </c>
      <c r="C299" s="293">
        <v>5.4130000000000003</v>
      </c>
      <c r="D299" s="293">
        <v>-3.7109999999999999</v>
      </c>
      <c r="E299" s="291">
        <f t="shared" si="23"/>
        <v>1.7020000000000004</v>
      </c>
      <c r="F299" s="290">
        <v>1.6149999999999998</v>
      </c>
      <c r="G299" s="290">
        <v>1.4259999999999997</v>
      </c>
    </row>
    <row r="300" spans="2:7" ht="13.9">
      <c r="B300" s="292" t="s">
        <v>659</v>
      </c>
      <c r="C300" s="293">
        <v>24.465</v>
      </c>
      <c r="D300" s="293">
        <v>-2.94</v>
      </c>
      <c r="E300" s="291">
        <f t="shared" si="23"/>
        <v>21.524999999999999</v>
      </c>
      <c r="F300" s="290">
        <v>18.868000000000002</v>
      </c>
      <c r="G300" s="290">
        <v>18.582000000000001</v>
      </c>
    </row>
    <row r="301" spans="2:7" ht="13.9">
      <c r="B301" s="292" t="s">
        <v>365</v>
      </c>
      <c r="C301" s="293">
        <v>14.835000000000001</v>
      </c>
      <c r="D301" s="293">
        <v>-9.6440000000000001</v>
      </c>
      <c r="E301" s="291">
        <f t="shared" si="23"/>
        <v>5.1910000000000007</v>
      </c>
      <c r="F301" s="290">
        <v>4.1189999999999998</v>
      </c>
      <c r="G301" s="290">
        <v>2.9339999999999993</v>
      </c>
    </row>
    <row r="302" spans="2:7" ht="13.9">
      <c r="B302" s="292" t="s">
        <v>660</v>
      </c>
      <c r="C302" s="293">
        <v>16.99165</v>
      </c>
      <c r="D302" s="293">
        <v>-8.5729399999999991</v>
      </c>
      <c r="E302" s="291">
        <f t="shared" si="23"/>
        <v>8.4187100000000008</v>
      </c>
      <c r="F302" s="290">
        <v>5.3867799999999999</v>
      </c>
      <c r="G302" s="290">
        <v>5.3179999999999996</v>
      </c>
    </row>
    <row r="303" spans="2:7" ht="13.9">
      <c r="B303" s="292" t="s">
        <v>661</v>
      </c>
      <c r="C303" s="293">
        <v>5.2999999999999999E-2</v>
      </c>
      <c r="D303" s="293">
        <v>0</v>
      </c>
      <c r="E303" s="291">
        <f t="shared" si="23"/>
        <v>5.2999999999999999E-2</v>
      </c>
      <c r="F303" s="290">
        <v>0</v>
      </c>
      <c r="G303" s="290">
        <v>0</v>
      </c>
    </row>
    <row r="304" spans="2:7" ht="13.9">
      <c r="B304" s="292" t="s">
        <v>655</v>
      </c>
      <c r="C304" s="293"/>
      <c r="D304" s="293"/>
      <c r="E304" s="291"/>
      <c r="F304" s="290"/>
      <c r="G304" s="290"/>
    </row>
    <row r="305" spans="2:7" ht="13.9">
      <c r="B305" s="289" t="s">
        <v>366</v>
      </c>
      <c r="C305" s="293"/>
      <c r="D305" s="293"/>
      <c r="E305" s="291"/>
      <c r="F305" s="290"/>
      <c r="G305" s="290"/>
    </row>
    <row r="306" spans="2:7" ht="13.9">
      <c r="B306" s="292" t="s">
        <v>367</v>
      </c>
      <c r="C306" s="293">
        <v>6.6358853577183199</v>
      </c>
      <c r="D306" s="293">
        <v>-3.4058217606100079</v>
      </c>
      <c r="E306" s="291">
        <f t="shared" ref="E306:E327" si="24">C306+D306</f>
        <v>3.230063597108312</v>
      </c>
      <c r="F306" s="290">
        <v>2.5224935971079576</v>
      </c>
      <c r="G306" s="290">
        <v>2.4689007962818117</v>
      </c>
    </row>
    <row r="307" spans="2:7" ht="13.9">
      <c r="B307" s="292" t="s">
        <v>662</v>
      </c>
      <c r="C307" s="293">
        <v>4.99</v>
      </c>
      <c r="D307" s="293">
        <v>-0.19613900000000001</v>
      </c>
      <c r="E307" s="291">
        <f t="shared" si="24"/>
        <v>4.7938610000000006</v>
      </c>
      <c r="F307" s="290">
        <v>3.992861</v>
      </c>
      <c r="G307" s="290">
        <v>3.992861</v>
      </c>
    </row>
    <row r="308" spans="2:7" ht="13.9">
      <c r="B308" s="292" t="s">
        <v>369</v>
      </c>
      <c r="C308" s="293">
        <v>4.28</v>
      </c>
      <c r="D308" s="293">
        <v>-0.36799999999999999</v>
      </c>
      <c r="E308" s="291">
        <f t="shared" si="24"/>
        <v>3.9120000000000004</v>
      </c>
      <c r="F308" s="290">
        <v>3.9200000000000004</v>
      </c>
      <c r="G308" s="290">
        <v>3.9280000000000004</v>
      </c>
    </row>
    <row r="309" spans="2:7" ht="13.9">
      <c r="B309" s="292" t="s">
        <v>370</v>
      </c>
      <c r="C309" s="293">
        <v>1.2090000000000001</v>
      </c>
      <c r="D309" s="293">
        <v>-0.59599999999999997</v>
      </c>
      <c r="E309" s="291">
        <f t="shared" si="24"/>
        <v>0.6130000000000001</v>
      </c>
      <c r="F309" s="290">
        <v>0.66299999999999992</v>
      </c>
      <c r="G309" s="290">
        <v>0.68</v>
      </c>
    </row>
    <row r="310" spans="2:7" ht="13.9">
      <c r="B310" s="292" t="s">
        <v>424</v>
      </c>
      <c r="C310" s="293">
        <v>13.610956120516541</v>
      </c>
      <c r="D310" s="293">
        <v>-1.8643454198789671</v>
      </c>
      <c r="E310" s="291">
        <f t="shared" si="24"/>
        <v>11.746610700637573</v>
      </c>
      <c r="F310" s="290">
        <v>12.186610700637575</v>
      </c>
      <c r="G310" s="290">
        <v>14.586610700637575</v>
      </c>
    </row>
    <row r="311" spans="2:7" ht="13.9">
      <c r="B311" s="292" t="s">
        <v>371</v>
      </c>
      <c r="C311" s="293">
        <v>12.098000000000001</v>
      </c>
      <c r="D311" s="293">
        <v>-2.81087229774554</v>
      </c>
      <c r="E311" s="291">
        <f t="shared" si="24"/>
        <v>9.2871277022544607</v>
      </c>
      <c r="F311" s="290">
        <v>9.3191277022544607</v>
      </c>
      <c r="G311" s="290">
        <v>9.3291277022544605</v>
      </c>
    </row>
    <row r="312" spans="2:7" ht="13.9">
      <c r="B312" s="292" t="s">
        <v>372</v>
      </c>
      <c r="C312" s="293">
        <v>5.8209999999999997</v>
      </c>
      <c r="D312" s="293">
        <v>-1.2709999999999999</v>
      </c>
      <c r="E312" s="291">
        <f t="shared" si="24"/>
        <v>4.55</v>
      </c>
      <c r="F312" s="290">
        <v>4.9569999999999999</v>
      </c>
      <c r="G312" s="290">
        <v>4.8020000000000005</v>
      </c>
    </row>
    <row r="313" spans="2:7" ht="13.9">
      <c r="B313" s="292" t="s">
        <v>373</v>
      </c>
      <c r="C313" s="293">
        <v>6.18</v>
      </c>
      <c r="D313" s="293">
        <v>-0.32300000000000001</v>
      </c>
      <c r="E313" s="291">
        <f t="shared" si="24"/>
        <v>5.8569999999999993</v>
      </c>
      <c r="F313" s="290">
        <v>5.923</v>
      </c>
      <c r="G313" s="290">
        <v>5.952</v>
      </c>
    </row>
    <row r="314" spans="2:7" ht="13.9">
      <c r="B314" s="292" t="s">
        <v>374</v>
      </c>
      <c r="C314" s="293">
        <v>0.64400000000000002</v>
      </c>
      <c r="D314" s="293">
        <v>-0.107</v>
      </c>
      <c r="E314" s="291">
        <f t="shared" si="24"/>
        <v>0.53700000000000003</v>
      </c>
      <c r="F314" s="290">
        <v>0.53800000000000003</v>
      </c>
      <c r="G314" s="290">
        <v>0.51400000000000001</v>
      </c>
    </row>
    <row r="315" spans="2:7" ht="13.9">
      <c r="B315" s="292" t="s">
        <v>663</v>
      </c>
      <c r="C315" s="293">
        <v>5.6749999999999998</v>
      </c>
      <c r="D315" s="293">
        <v>-2.8407000000000002E-2</v>
      </c>
      <c r="E315" s="291">
        <f t="shared" si="24"/>
        <v>5.6465930000000002</v>
      </c>
      <c r="F315" s="290">
        <v>5.7095930000000008</v>
      </c>
      <c r="G315" s="290">
        <v>5.6070000000000002</v>
      </c>
    </row>
    <row r="316" spans="2:7" ht="13.9">
      <c r="B316" s="292" t="s">
        <v>664</v>
      </c>
      <c r="C316" s="293">
        <v>4.5739999999999998</v>
      </c>
      <c r="D316" s="293">
        <v>-3.1890999999999996E-2</v>
      </c>
      <c r="E316" s="291">
        <f t="shared" si="24"/>
        <v>4.542109</v>
      </c>
      <c r="F316" s="290">
        <v>4.4441090000000001</v>
      </c>
      <c r="G316" s="290">
        <v>5.2700000000000005</v>
      </c>
    </row>
    <row r="317" spans="2:7" ht="13.9">
      <c r="B317" s="292" t="s">
        <v>376</v>
      </c>
      <c r="C317" s="293">
        <v>6.5709999999999997</v>
      </c>
      <c r="D317" s="293">
        <v>-3.052</v>
      </c>
      <c r="E317" s="291">
        <f t="shared" si="24"/>
        <v>3.5189999999999997</v>
      </c>
      <c r="F317" s="290">
        <v>3.5569999999999999</v>
      </c>
      <c r="G317" s="290">
        <v>3.5490000000000004</v>
      </c>
    </row>
    <row r="318" spans="2:7" ht="13.9">
      <c r="B318" s="292" t="s">
        <v>377</v>
      </c>
      <c r="C318" s="293">
        <v>0.41899999999999998</v>
      </c>
      <c r="D318" s="293">
        <v>0</v>
      </c>
      <c r="E318" s="291">
        <f t="shared" si="24"/>
        <v>0.41899999999999998</v>
      </c>
      <c r="F318" s="290">
        <v>0.42399999999999999</v>
      </c>
      <c r="G318" s="290">
        <v>0.42599999999999999</v>
      </c>
    </row>
    <row r="319" spans="2:7" ht="13.9">
      <c r="B319" s="292" t="s">
        <v>378</v>
      </c>
      <c r="C319" s="293">
        <v>1.53</v>
      </c>
      <c r="D319" s="293">
        <v>-0.19</v>
      </c>
      <c r="E319" s="291">
        <f t="shared" si="24"/>
        <v>1.34</v>
      </c>
      <c r="F319" s="290">
        <v>1.359</v>
      </c>
      <c r="G319" s="290">
        <v>1.341</v>
      </c>
    </row>
    <row r="320" spans="2:7" ht="13.9">
      <c r="B320" s="292" t="s">
        <v>665</v>
      </c>
      <c r="C320" s="293">
        <v>7.6</v>
      </c>
      <c r="D320" s="293">
        <v>0</v>
      </c>
      <c r="E320" s="291">
        <f t="shared" si="24"/>
        <v>7.6</v>
      </c>
      <c r="F320" s="290">
        <v>7.6</v>
      </c>
      <c r="G320" s="290">
        <v>7.6</v>
      </c>
    </row>
    <row r="321" spans="2:7" ht="13.9">
      <c r="B321" s="292" t="s">
        <v>379</v>
      </c>
      <c r="C321" s="293">
        <v>9.8239999999999998</v>
      </c>
      <c r="D321" s="293">
        <v>0</v>
      </c>
      <c r="E321" s="291">
        <f t="shared" si="24"/>
        <v>9.8239999999999998</v>
      </c>
      <c r="F321" s="290">
        <v>9.484</v>
      </c>
      <c r="G321" s="290">
        <v>7.0069999999999997</v>
      </c>
    </row>
    <row r="322" spans="2:7" ht="13.9">
      <c r="B322" s="292" t="s">
        <v>101</v>
      </c>
      <c r="C322" s="293">
        <v>4.758</v>
      </c>
      <c r="D322" s="293">
        <v>0</v>
      </c>
      <c r="E322" s="291">
        <f t="shared" si="24"/>
        <v>4.758</v>
      </c>
      <c r="F322" s="290">
        <v>21.318999999999999</v>
      </c>
      <c r="G322" s="290">
        <v>6.5</v>
      </c>
    </row>
    <row r="323" spans="2:7" ht="13.9">
      <c r="B323" s="292" t="s">
        <v>380</v>
      </c>
      <c r="C323" s="293">
        <v>0.38200000000000001</v>
      </c>
      <c r="D323" s="293">
        <v>0</v>
      </c>
      <c r="E323" s="291">
        <f t="shared" si="24"/>
        <v>0.38200000000000001</v>
      </c>
      <c r="F323" s="290">
        <v>0.38200000000000001</v>
      </c>
      <c r="G323" s="290">
        <v>0.38200000000000001</v>
      </c>
    </row>
    <row r="324" spans="2:7" ht="14.25" thickBot="1">
      <c r="B324" s="388" t="s">
        <v>381</v>
      </c>
      <c r="C324" s="383">
        <v>4.4550000000000001</v>
      </c>
      <c r="D324" s="383">
        <v>0</v>
      </c>
      <c r="E324" s="342">
        <f t="shared" si="24"/>
        <v>4.4550000000000001</v>
      </c>
      <c r="F324" s="341">
        <v>4.3209999999999997</v>
      </c>
      <c r="G324" s="341">
        <v>4.2889999999999997</v>
      </c>
    </row>
    <row r="325" spans="2:7" ht="14.25" thickBot="1">
      <c r="B325" s="389" t="s">
        <v>382</v>
      </c>
      <c r="C325" s="342">
        <f>SUM(C285:C324)</f>
        <v>696.8369164782348</v>
      </c>
      <c r="D325" s="342">
        <f>SUM(D285:D324)</f>
        <v>-495.90391647823469</v>
      </c>
      <c r="E325" s="342">
        <f t="shared" si="24"/>
        <v>200.93300000000011</v>
      </c>
      <c r="F325" s="381">
        <f>SUM(F285:F324)</f>
        <v>195.19400000000002</v>
      </c>
      <c r="G325" s="381">
        <f>SUM(G285:G324)</f>
        <v>173.9620000000001</v>
      </c>
    </row>
    <row r="326" spans="2:7" ht="14.25" thickBot="1">
      <c r="B326" s="388" t="s">
        <v>647</v>
      </c>
      <c r="C326" s="383">
        <f>-E16</f>
        <v>-1</v>
      </c>
      <c r="D326" s="383">
        <f>E32</f>
        <v>425.56700000000001</v>
      </c>
      <c r="E326" s="342">
        <f t="shared" si="24"/>
        <v>424.56700000000001</v>
      </c>
      <c r="F326" s="341">
        <f>F32-F16</f>
        <v>399.10599999999999</v>
      </c>
      <c r="G326" s="341">
        <f>G32-G16</f>
        <v>385.03800000000001</v>
      </c>
    </row>
    <row r="327" spans="2:7" ht="14.25" thickBot="1">
      <c r="B327" s="389" t="s">
        <v>383</v>
      </c>
      <c r="C327" s="342">
        <f>SUM(C325:C326)</f>
        <v>695.8369164782348</v>
      </c>
      <c r="D327" s="342">
        <f t="shared" ref="D327:G327" si="25">SUM(D325:D326)</f>
        <v>-70.336916478234684</v>
      </c>
      <c r="E327" s="342">
        <f t="shared" si="24"/>
        <v>625.50000000000011</v>
      </c>
      <c r="F327" s="381">
        <f t="shared" si="25"/>
        <v>594.29999999999995</v>
      </c>
      <c r="G327" s="381">
        <f t="shared" si="25"/>
        <v>559.00000000000011</v>
      </c>
    </row>
    <row r="328" spans="2:7" ht="13.9">
      <c r="B328" s="334" t="s">
        <v>384</v>
      </c>
      <c r="C328" s="390">
        <f>C325-SUM(E120:E122)</f>
        <v>2.6369164782348662</v>
      </c>
      <c r="D328" s="390">
        <f>D327-SUM(E129:E130)</f>
        <v>-2.6369164782350083</v>
      </c>
      <c r="E328" s="390">
        <f>E327-E15</f>
        <v>0</v>
      </c>
      <c r="F328" s="390">
        <f>F327-F15</f>
        <v>0</v>
      </c>
      <c r="G328" s="390">
        <f>G327-G15</f>
        <v>0</v>
      </c>
    </row>
    <row r="329" spans="2:7">
      <c r="C329" s="411"/>
      <c r="D329" s="411"/>
      <c r="E329" s="411"/>
      <c r="F329" s="411"/>
      <c r="G329" s="411"/>
    </row>
  </sheetData>
  <mergeCells count="16">
    <mergeCell ref="B221:B223"/>
    <mergeCell ref="B254:B255"/>
    <mergeCell ref="B262:B264"/>
    <mergeCell ref="B271:B273"/>
    <mergeCell ref="B280:B283"/>
    <mergeCell ref="D280:D281"/>
    <mergeCell ref="C2:C3"/>
    <mergeCell ref="D2:D3"/>
    <mergeCell ref="E2:E3"/>
    <mergeCell ref="F2:F3"/>
    <mergeCell ref="G2:G3"/>
    <mergeCell ref="C151:C152"/>
    <mergeCell ref="D151:D152"/>
    <mergeCell ref="E151:E152"/>
    <mergeCell ref="F151:F152"/>
    <mergeCell ref="G151:G152"/>
  </mergeCells>
  <conditionalFormatting sqref="C38:F40 G38 C189:G198 F74:G79 C199:C200 F199:G200 G218 F207:G217">
    <cfRule type="cellIs" dxfId="78" priority="24" operator="notEqual">
      <formula>0</formula>
    </cfRule>
  </conditionalFormatting>
  <conditionalFormatting sqref="D44">
    <cfRule type="cellIs" dxfId="77" priority="23" operator="notEqual">
      <formula>0</formula>
    </cfRule>
  </conditionalFormatting>
  <conditionalFormatting sqref="C53">
    <cfRule type="cellIs" dxfId="76" priority="22" operator="notEqual">
      <formula>0</formula>
    </cfRule>
  </conditionalFormatting>
  <conditionalFormatting sqref="C147:F148 G147">
    <cfRule type="cellIs" dxfId="75" priority="21" operator="notEqual">
      <formula>0</formula>
    </cfRule>
  </conditionalFormatting>
  <conditionalFormatting sqref="D72:F72">
    <cfRule type="cellIs" dxfId="74" priority="20" operator="notEqual">
      <formula>0</formula>
    </cfRule>
  </conditionalFormatting>
  <conditionalFormatting sqref="F114">
    <cfRule type="cellIs" dxfId="73" priority="16" operator="notEqual">
      <formula>0</formula>
    </cfRule>
  </conditionalFormatting>
  <conditionalFormatting sqref="C114:F114">
    <cfRule type="cellIs" dxfId="72" priority="19" operator="notEqual">
      <formula>0</formula>
    </cfRule>
  </conditionalFormatting>
  <conditionalFormatting sqref="D114">
    <cfRule type="cellIs" dxfId="71" priority="18" operator="notEqual">
      <formula>0</formula>
    </cfRule>
  </conditionalFormatting>
  <conditionalFormatting sqref="E114">
    <cfRule type="cellIs" dxfId="70" priority="17" operator="notEqual">
      <formula>0</formula>
    </cfRule>
  </conditionalFormatting>
  <conditionalFormatting sqref="C250:G250">
    <cfRule type="cellIs" dxfId="69" priority="15" operator="notEqual">
      <formula>0</formula>
    </cfRule>
  </conditionalFormatting>
  <conditionalFormatting sqref="G250">
    <cfRule type="cellIs" dxfId="68" priority="14" operator="notEqual">
      <formula>0</formula>
    </cfRule>
  </conditionalFormatting>
  <conditionalFormatting sqref="G38:G40">
    <cfRule type="cellIs" dxfId="67" priority="13" operator="notEqual">
      <formula>0</formula>
    </cfRule>
  </conditionalFormatting>
  <conditionalFormatting sqref="G147:G148">
    <cfRule type="cellIs" dxfId="66" priority="12" operator="notEqual">
      <formula>0</formula>
    </cfRule>
  </conditionalFormatting>
  <conditionalFormatting sqref="G72">
    <cfRule type="cellIs" dxfId="65" priority="11" operator="notEqual">
      <formula>0</formula>
    </cfRule>
  </conditionalFormatting>
  <conditionalFormatting sqref="G114">
    <cfRule type="cellIs" dxfId="64" priority="9" operator="notEqual">
      <formula>0</formula>
    </cfRule>
  </conditionalFormatting>
  <conditionalFormatting sqref="G114">
    <cfRule type="cellIs" dxfId="63" priority="10" operator="notEqual">
      <formula>0</formula>
    </cfRule>
  </conditionalFormatting>
  <conditionalFormatting sqref="E328:G328">
    <cfRule type="cellIs" dxfId="62" priority="8" operator="notEqual">
      <formula>0</formula>
    </cfRule>
  </conditionalFormatting>
  <conditionalFormatting sqref="G328">
    <cfRule type="cellIs" dxfId="61" priority="7" operator="notEqual">
      <formula>0</formula>
    </cfRule>
  </conditionalFormatting>
  <conditionalFormatting sqref="C188:G188">
    <cfRule type="cellIs" dxfId="60" priority="6" operator="notEqual">
      <formula>0</formula>
    </cfRule>
  </conditionalFormatting>
  <conditionalFormatting sqref="G188">
    <cfRule type="cellIs" dxfId="59" priority="5" operator="notEqual">
      <formula>0</formula>
    </cfRule>
  </conditionalFormatting>
  <conditionalFormatting sqref="D73:G73">
    <cfRule type="cellIs" dxfId="58" priority="4" operator="notEqual">
      <formula>0</formula>
    </cfRule>
  </conditionalFormatting>
  <conditionalFormatting sqref="C328:D328">
    <cfRule type="cellIs" dxfId="57" priority="3" operator="notEqual">
      <formula>0</formula>
    </cfRule>
  </conditionalFormatting>
  <conditionalFormatting sqref="D80:G90 D98:G98">
    <cfRule type="cellIs" dxfId="56" priority="2" operator="notEqual">
      <formula>0</formula>
    </cfRule>
  </conditionalFormatting>
  <conditionalFormatting sqref="G194">
    <cfRule type="cellIs" dxfId="55" priority="1" operator="notEqual">
      <formula>0</formula>
    </cfRule>
  </conditionalFormatting>
  <pageMargins left="0.70866141732283472" right="0.70866141732283472" top="0.74803149606299213" bottom="0.74803149606299213" header="0.31496062992125984" footer="0.31496062992125984"/>
  <pageSetup paperSize="9" scal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X61"/>
  <sheetViews>
    <sheetView showGridLines="0" topLeftCell="A35" zoomScale="160" zoomScaleNormal="160" workbookViewId="0">
      <selection activeCell="B51" sqref="B51"/>
    </sheetView>
  </sheetViews>
  <sheetFormatPr defaultRowHeight="14.25"/>
  <cols>
    <col min="1" max="1" width="2.86328125" customWidth="1"/>
    <col min="2" max="2" width="49" customWidth="1"/>
    <col min="3" max="4" width="12.59765625" customWidth="1"/>
    <col min="5" max="10" width="8" customWidth="1"/>
    <col min="12" max="12" width="49" customWidth="1"/>
    <col min="13" max="14" width="12.59765625" customWidth="1"/>
    <col min="15" max="20" width="8" customWidth="1"/>
    <col min="21" max="21" width="8.73046875" customWidth="1"/>
    <col min="22" max="22" width="49" customWidth="1"/>
    <col min="23" max="24" width="12.59765625" customWidth="1"/>
    <col min="32" max="32" width="49" customWidth="1"/>
  </cols>
  <sheetData>
    <row r="1" spans="2:24" ht="14.65" thickBot="1"/>
    <row r="2" spans="2:24">
      <c r="B2" s="483" t="s">
        <v>394</v>
      </c>
      <c r="C2" s="23" t="s">
        <v>4</v>
      </c>
      <c r="D2" s="22" t="s">
        <v>127</v>
      </c>
      <c r="L2" s="483" t="str">
        <f>B2</f>
        <v>Savings and efficiencies</v>
      </c>
      <c r="M2" s="23" t="str">
        <f>C2</f>
        <v>2021-22</v>
      </c>
      <c r="N2" s="22" t="s">
        <v>127</v>
      </c>
      <c r="V2" s="483" t="str">
        <f>B2</f>
        <v>Savings and efficiencies</v>
      </c>
      <c r="W2" s="23" t="str">
        <f>C2</f>
        <v>2021-22</v>
      </c>
      <c r="X2" s="22" t="str">
        <f>D2</f>
        <v>2022-23</v>
      </c>
    </row>
    <row r="3" spans="2:24" ht="14.65" thickBot="1">
      <c r="B3" s="484"/>
      <c r="C3" s="2" t="s">
        <v>40</v>
      </c>
      <c r="D3" s="1" t="s">
        <v>40</v>
      </c>
      <c r="L3" s="484"/>
      <c r="M3" s="2" t="str">
        <f>C3</f>
        <v>£m</v>
      </c>
      <c r="N3" s="1" t="s">
        <v>40</v>
      </c>
      <c r="V3" s="484"/>
      <c r="W3" s="2" t="str">
        <f>C3</f>
        <v>£m</v>
      </c>
      <c r="X3" s="1" t="str">
        <f>D3</f>
        <v>£m</v>
      </c>
    </row>
    <row r="4" spans="2:24">
      <c r="B4" s="4" t="s">
        <v>232</v>
      </c>
      <c r="C4" s="16" t="e">
        <f>-#REF!</f>
        <v>#REF!</v>
      </c>
      <c r="D4" s="13">
        <v>0</v>
      </c>
      <c r="E4" s="129" t="s">
        <v>395</v>
      </c>
      <c r="F4" s="129"/>
      <c r="G4" s="129"/>
      <c r="H4" s="129"/>
      <c r="I4" s="129"/>
      <c r="L4" s="4" t="str">
        <f t="shared" ref="L4:L11" si="0">B4</f>
        <v>GLA: Mayor</v>
      </c>
      <c r="M4" s="11" t="e">
        <f t="shared" ref="M4:N10" si="1">ROUND(C4,1)</f>
        <v>#REF!</v>
      </c>
      <c r="N4" s="8">
        <f t="shared" si="1"/>
        <v>0</v>
      </c>
      <c r="V4" s="4" t="str">
        <f t="shared" ref="V4:V11" si="2">L4</f>
        <v>GLA: Mayor</v>
      </c>
      <c r="W4" s="11" t="e">
        <f t="shared" ref="W4:X11" si="3">M4-C4</f>
        <v>#REF!</v>
      </c>
      <c r="X4" s="8">
        <f t="shared" si="3"/>
        <v>0</v>
      </c>
    </row>
    <row r="5" spans="2:24">
      <c r="B5" s="4" t="s">
        <v>396</v>
      </c>
      <c r="C5" s="16" t="e">
        <f>-#REF!</f>
        <v>#REF!</v>
      </c>
      <c r="D5" s="13">
        <v>0</v>
      </c>
      <c r="E5" s="129" t="s">
        <v>395</v>
      </c>
      <c r="F5" s="129"/>
      <c r="G5" s="129"/>
      <c r="H5" s="129"/>
      <c r="I5" s="129"/>
      <c r="L5" s="4" t="str">
        <f t="shared" si="0"/>
        <v>GLA: London Assembly</v>
      </c>
      <c r="M5" s="11" t="e">
        <f t="shared" si="1"/>
        <v>#REF!</v>
      </c>
      <c r="N5" s="8">
        <f t="shared" si="1"/>
        <v>0</v>
      </c>
      <c r="V5" s="4" t="str">
        <f t="shared" si="2"/>
        <v>GLA: London Assembly</v>
      </c>
      <c r="W5" s="11" t="e">
        <f t="shared" si="3"/>
        <v>#REF!</v>
      </c>
      <c r="X5" s="8">
        <f t="shared" si="3"/>
        <v>0</v>
      </c>
    </row>
    <row r="6" spans="2:24">
      <c r="B6" s="4" t="s">
        <v>37</v>
      </c>
      <c r="C6" s="16" t="e">
        <f>-#REF!</f>
        <v>#REF!</v>
      </c>
      <c r="D6" s="13">
        <v>30.8</v>
      </c>
      <c r="E6" s="140" t="s">
        <v>397</v>
      </c>
      <c r="F6" s="140"/>
      <c r="G6" s="140"/>
      <c r="H6" s="140"/>
      <c r="I6" s="140"/>
      <c r="L6" s="4" t="str">
        <f t="shared" si="0"/>
        <v>MOPAC</v>
      </c>
      <c r="M6" s="11" t="e">
        <f t="shared" si="1"/>
        <v>#REF!</v>
      </c>
      <c r="N6" s="8">
        <f t="shared" si="1"/>
        <v>30.8</v>
      </c>
      <c r="V6" s="4" t="str">
        <f t="shared" si="2"/>
        <v>MOPAC</v>
      </c>
      <c r="W6" s="11" t="e">
        <f t="shared" si="3"/>
        <v>#REF!</v>
      </c>
      <c r="X6" s="8">
        <f t="shared" si="3"/>
        <v>0</v>
      </c>
    </row>
    <row r="7" spans="2:24">
      <c r="B7" s="4" t="s">
        <v>234</v>
      </c>
      <c r="C7" s="16" t="e">
        <f>-#REF!</f>
        <v>#REF!</v>
      </c>
      <c r="D7" s="13">
        <v>0</v>
      </c>
      <c r="E7" s="129" t="s">
        <v>395</v>
      </c>
      <c r="F7" s="129"/>
      <c r="G7" s="129"/>
      <c r="H7" s="129"/>
      <c r="I7" s="129"/>
      <c r="L7" s="4" t="str">
        <f t="shared" si="0"/>
        <v>LFC</v>
      </c>
      <c r="M7" s="11" t="e">
        <f t="shared" si="1"/>
        <v>#REF!</v>
      </c>
      <c r="N7" s="8">
        <f t="shared" si="1"/>
        <v>0</v>
      </c>
      <c r="V7" s="4" t="str">
        <f t="shared" si="2"/>
        <v>LFC</v>
      </c>
      <c r="W7" s="11" t="e">
        <f t="shared" si="3"/>
        <v>#REF!</v>
      </c>
      <c r="X7" s="8">
        <f t="shared" si="3"/>
        <v>0</v>
      </c>
    </row>
    <row r="8" spans="2:24">
      <c r="B8" s="4" t="s">
        <v>39</v>
      </c>
      <c r="C8" s="16" t="e">
        <f>-#REF!</f>
        <v>#REF!</v>
      </c>
      <c r="D8" s="13">
        <v>143.30000000000001</v>
      </c>
      <c r="E8" s="148" t="s">
        <v>398</v>
      </c>
      <c r="L8" s="4" t="str">
        <f t="shared" si="0"/>
        <v>TfL</v>
      </c>
      <c r="M8" s="11" t="e">
        <f t="shared" si="1"/>
        <v>#REF!</v>
      </c>
      <c r="N8" s="8">
        <f t="shared" si="1"/>
        <v>143.30000000000001</v>
      </c>
      <c r="V8" s="4" t="str">
        <f t="shared" si="2"/>
        <v>TfL</v>
      </c>
      <c r="W8" s="11" t="e">
        <f t="shared" si="3"/>
        <v>#REF!</v>
      </c>
      <c r="X8" s="8">
        <f t="shared" si="3"/>
        <v>0</v>
      </c>
    </row>
    <row r="9" spans="2:24">
      <c r="B9" s="4" t="s">
        <v>114</v>
      </c>
      <c r="C9" s="16" t="e">
        <f>-#REF!</f>
        <v>#REF!</v>
      </c>
      <c r="D9" s="13">
        <v>0.1</v>
      </c>
      <c r="E9" s="140" t="s">
        <v>397</v>
      </c>
      <c r="F9" s="140"/>
      <c r="G9" s="140"/>
      <c r="H9" s="140"/>
      <c r="I9" s="140"/>
      <c r="L9" s="4" t="str">
        <f t="shared" si="0"/>
        <v>LLDC</v>
      </c>
      <c r="M9" s="11" t="e">
        <f t="shared" si="1"/>
        <v>#REF!</v>
      </c>
      <c r="N9" s="8">
        <f t="shared" si="1"/>
        <v>0.1</v>
      </c>
      <c r="V9" s="4" t="str">
        <f t="shared" si="2"/>
        <v>LLDC</v>
      </c>
      <c r="W9" s="11" t="e">
        <f t="shared" si="3"/>
        <v>#REF!</v>
      </c>
      <c r="X9" s="8">
        <f t="shared" si="3"/>
        <v>0</v>
      </c>
    </row>
    <row r="10" spans="2:24" ht="14.65" thickBot="1">
      <c r="B10" s="5" t="s">
        <v>235</v>
      </c>
      <c r="C10" s="27" t="e">
        <f>-#REF!</f>
        <v>#REF!</v>
      </c>
      <c r="D10" s="19">
        <v>0.4</v>
      </c>
      <c r="E10" s="129" t="s">
        <v>399</v>
      </c>
      <c r="F10" s="129"/>
      <c r="G10" s="129"/>
      <c r="H10" s="129"/>
      <c r="I10" s="129"/>
      <c r="L10" s="5" t="str">
        <f t="shared" si="0"/>
        <v>OPDC</v>
      </c>
      <c r="M10" s="10" t="e">
        <f t="shared" si="1"/>
        <v>#REF!</v>
      </c>
      <c r="N10" s="9">
        <f t="shared" si="1"/>
        <v>0.4</v>
      </c>
      <c r="V10" s="5" t="str">
        <f t="shared" si="2"/>
        <v>OPDC</v>
      </c>
      <c r="W10" s="10" t="e">
        <f t="shared" si="3"/>
        <v>#REF!</v>
      </c>
      <c r="X10" s="9">
        <f t="shared" si="3"/>
        <v>0</v>
      </c>
    </row>
    <row r="11" spans="2:24" ht="14.65" thickBot="1">
      <c r="B11" s="12" t="s">
        <v>0</v>
      </c>
      <c r="C11" s="20" t="e">
        <f>SUM(C4:C10)</f>
        <v>#REF!</v>
      </c>
      <c r="D11" s="15">
        <v>174.60000000000002</v>
      </c>
      <c r="L11" s="12" t="str">
        <f t="shared" si="0"/>
        <v>Total</v>
      </c>
      <c r="M11" s="18" t="e">
        <f>SUM(M4:M10)</f>
        <v>#REF!</v>
      </c>
      <c r="N11" s="17">
        <f>SUM(N4:N10)</f>
        <v>174.60000000000002</v>
      </c>
      <c r="V11" s="12" t="str">
        <f t="shared" si="2"/>
        <v>Total</v>
      </c>
      <c r="W11" s="18" t="e">
        <f t="shared" si="3"/>
        <v>#REF!</v>
      </c>
      <c r="X11" s="17">
        <f t="shared" si="3"/>
        <v>0</v>
      </c>
    </row>
    <row r="12" spans="2:24">
      <c r="B12" s="126" t="s">
        <v>400</v>
      </c>
      <c r="C12" s="130">
        <f>C40</f>
        <v>130.6</v>
      </c>
      <c r="D12" s="130"/>
    </row>
    <row r="13" spans="2:24">
      <c r="B13" s="126" t="s">
        <v>401</v>
      </c>
      <c r="C13" s="130" t="e">
        <f>C12-C11</f>
        <v>#REF!</v>
      </c>
      <c r="D13" s="130"/>
    </row>
    <row r="14" spans="2:24" ht="14.65" thickBot="1"/>
    <row r="15" spans="2:24">
      <c r="B15" s="483" t="s">
        <v>385</v>
      </c>
      <c r="C15" s="23" t="s">
        <v>4</v>
      </c>
      <c r="D15" s="22" t="s">
        <v>127</v>
      </c>
      <c r="L15" s="483" t="str">
        <f>B15</f>
        <v>Savings to be identified</v>
      </c>
      <c r="M15" s="23" t="str">
        <f>C15</f>
        <v>2021-22</v>
      </c>
      <c r="N15" s="22" t="s">
        <v>127</v>
      </c>
      <c r="V15" s="483" t="str">
        <f t="shared" ref="V15:V24" si="4">L15</f>
        <v>Savings to be identified</v>
      </c>
      <c r="W15" s="23" t="str">
        <f>C15</f>
        <v>2021-22</v>
      </c>
      <c r="X15" s="22" t="str">
        <f>D15</f>
        <v>2022-23</v>
      </c>
    </row>
    <row r="16" spans="2:24" ht="14.65" thickBot="1">
      <c r="B16" s="484"/>
      <c r="C16" s="2" t="s">
        <v>40</v>
      </c>
      <c r="D16" s="1" t="s">
        <v>40</v>
      </c>
      <c r="L16" s="484">
        <f>B16</f>
        <v>0</v>
      </c>
      <c r="M16" s="2" t="str">
        <f>C16</f>
        <v>£m</v>
      </c>
      <c r="N16" s="1" t="s">
        <v>40</v>
      </c>
      <c r="V16" s="484">
        <f t="shared" si="4"/>
        <v>0</v>
      </c>
      <c r="W16" s="2" t="str">
        <f>C16</f>
        <v>£m</v>
      </c>
      <c r="X16" s="1" t="str">
        <f>D16</f>
        <v>£m</v>
      </c>
    </row>
    <row r="17" spans="2:24">
      <c r="B17" s="4" t="s">
        <v>232</v>
      </c>
      <c r="C17" s="16" t="e">
        <f t="shared" ref="C17:C23" si="5">IF((C33-C4)&gt;0,(C33-C4),0)</f>
        <v>#REF!</v>
      </c>
      <c r="D17" s="13" t="e">
        <f t="shared" ref="D17:D21" si="6">IF((D33-D4-C4)&gt;0,(D33-D4-C4),0)</f>
        <v>#REF!</v>
      </c>
      <c r="E17" s="129" t="s">
        <v>402</v>
      </c>
      <c r="F17" s="129"/>
      <c r="G17" s="129"/>
      <c r="H17" s="129"/>
      <c r="I17" s="129"/>
      <c r="J17" s="129"/>
      <c r="K17" s="129"/>
      <c r="L17" s="4" t="str">
        <f t="shared" ref="L17:L24" si="7">B17</f>
        <v>GLA: Mayor</v>
      </c>
      <c r="M17" s="11" t="e">
        <f t="shared" ref="M17:N23" si="8">ROUND(C17,1)</f>
        <v>#REF!</v>
      </c>
      <c r="N17" s="8" t="e">
        <f t="shared" si="8"/>
        <v>#REF!</v>
      </c>
      <c r="V17" s="4" t="str">
        <f t="shared" si="4"/>
        <v>GLA: Mayor</v>
      </c>
      <c r="W17" s="11" t="e">
        <f t="shared" ref="W17:X24" si="9">M17-C17</f>
        <v>#REF!</v>
      </c>
      <c r="X17" s="8" t="e">
        <f t="shared" si="9"/>
        <v>#REF!</v>
      </c>
    </row>
    <row r="18" spans="2:24">
      <c r="B18" s="4" t="s">
        <v>396</v>
      </c>
      <c r="C18" s="16" t="e">
        <f t="shared" si="5"/>
        <v>#REF!</v>
      </c>
      <c r="D18" s="13" t="e">
        <f t="shared" si="6"/>
        <v>#REF!</v>
      </c>
      <c r="E18" s="129" t="s">
        <v>402</v>
      </c>
      <c r="F18" s="129"/>
      <c r="G18" s="129"/>
      <c r="H18" s="129"/>
      <c r="I18" s="129"/>
      <c r="J18" s="129"/>
      <c r="K18" s="129"/>
      <c r="L18" s="4" t="str">
        <f t="shared" si="7"/>
        <v>GLA: London Assembly</v>
      </c>
      <c r="M18" s="11" t="e">
        <f t="shared" si="8"/>
        <v>#REF!</v>
      </c>
      <c r="N18" s="8" t="e">
        <f t="shared" si="8"/>
        <v>#REF!</v>
      </c>
      <c r="V18" s="4" t="str">
        <f t="shared" si="4"/>
        <v>GLA: London Assembly</v>
      </c>
      <c r="W18" s="11" t="e">
        <f t="shared" si="9"/>
        <v>#REF!</v>
      </c>
      <c r="X18" s="8" t="e">
        <f t="shared" si="9"/>
        <v>#REF!</v>
      </c>
    </row>
    <row r="19" spans="2:24">
      <c r="B19" s="4" t="s">
        <v>37</v>
      </c>
      <c r="C19" s="16" t="e">
        <f t="shared" si="5"/>
        <v>#REF!</v>
      </c>
      <c r="D19" s="13" t="e">
        <f t="shared" si="6"/>
        <v>#REF!</v>
      </c>
      <c r="E19" s="140" t="s">
        <v>397</v>
      </c>
      <c r="F19" s="140"/>
      <c r="G19" s="140"/>
      <c r="H19" s="140"/>
      <c r="I19" s="140"/>
      <c r="J19" s="140"/>
      <c r="K19" s="140"/>
      <c r="L19" s="4" t="str">
        <f t="shared" si="7"/>
        <v>MOPAC</v>
      </c>
      <c r="M19" s="11" t="e">
        <f t="shared" si="8"/>
        <v>#REF!</v>
      </c>
      <c r="N19" s="8" t="e">
        <f t="shared" si="8"/>
        <v>#REF!</v>
      </c>
      <c r="V19" s="4" t="str">
        <f t="shared" si="4"/>
        <v>MOPAC</v>
      </c>
      <c r="W19" s="11" t="e">
        <f t="shared" si="9"/>
        <v>#REF!</v>
      </c>
      <c r="X19" s="8" t="e">
        <f t="shared" si="9"/>
        <v>#REF!</v>
      </c>
    </row>
    <row r="20" spans="2:24">
      <c r="B20" s="4" t="s">
        <v>234</v>
      </c>
      <c r="C20" s="16" t="e">
        <f t="shared" si="5"/>
        <v>#REF!</v>
      </c>
      <c r="D20" s="13" t="e">
        <f t="shared" si="6"/>
        <v>#REF!</v>
      </c>
      <c r="E20" s="129" t="s">
        <v>402</v>
      </c>
      <c r="F20" s="129"/>
      <c r="G20" s="129"/>
      <c r="H20" s="129"/>
      <c r="I20" s="129"/>
      <c r="J20" s="129"/>
      <c r="K20" s="129"/>
      <c r="L20" s="4" t="str">
        <f t="shared" si="7"/>
        <v>LFC</v>
      </c>
      <c r="M20" s="11" t="e">
        <f t="shared" si="8"/>
        <v>#REF!</v>
      </c>
      <c r="N20" s="8" t="e">
        <f t="shared" si="8"/>
        <v>#REF!</v>
      </c>
      <c r="V20" s="4" t="str">
        <f t="shared" si="4"/>
        <v>LFC</v>
      </c>
      <c r="W20" s="11" t="e">
        <f t="shared" si="9"/>
        <v>#REF!</v>
      </c>
      <c r="X20" s="8" t="e">
        <f t="shared" si="9"/>
        <v>#REF!</v>
      </c>
    </row>
    <row r="21" spans="2:24">
      <c r="B21" s="4" t="s">
        <v>39</v>
      </c>
      <c r="C21" s="16" t="e">
        <f t="shared" si="5"/>
        <v>#REF!</v>
      </c>
      <c r="D21" s="13" t="e">
        <f t="shared" si="6"/>
        <v>#REF!</v>
      </c>
      <c r="E21" s="140" t="s">
        <v>397</v>
      </c>
      <c r="F21" s="140"/>
      <c r="G21" s="140"/>
      <c r="H21" s="140"/>
      <c r="I21" s="140"/>
      <c r="J21" s="140"/>
      <c r="K21" s="140"/>
      <c r="L21" s="4" t="str">
        <f t="shared" si="7"/>
        <v>TfL</v>
      </c>
      <c r="M21" s="11" t="e">
        <f t="shared" si="8"/>
        <v>#REF!</v>
      </c>
      <c r="N21" s="8" t="e">
        <f t="shared" si="8"/>
        <v>#REF!</v>
      </c>
      <c r="V21" s="4" t="str">
        <f t="shared" si="4"/>
        <v>TfL</v>
      </c>
      <c r="W21" s="11" t="e">
        <f t="shared" si="9"/>
        <v>#REF!</v>
      </c>
      <c r="X21" s="8" t="e">
        <f t="shared" si="9"/>
        <v>#REF!</v>
      </c>
    </row>
    <row r="22" spans="2:24">
      <c r="B22" s="4" t="s">
        <v>114</v>
      </c>
      <c r="C22" s="16" t="e">
        <f t="shared" si="5"/>
        <v>#REF!</v>
      </c>
      <c r="D22" s="13" t="e">
        <f>IF((D38-D9-C9)&gt;0,(D38-D9-C9),0)</f>
        <v>#REF!</v>
      </c>
      <c r="E22" s="140" t="s">
        <v>397</v>
      </c>
      <c r="F22" s="140"/>
      <c r="G22" s="140"/>
      <c r="H22" s="140"/>
      <c r="I22" s="140"/>
      <c r="J22" s="140"/>
      <c r="K22" s="140"/>
      <c r="L22" s="4" t="str">
        <f t="shared" si="7"/>
        <v>LLDC</v>
      </c>
      <c r="M22" s="11" t="e">
        <f t="shared" si="8"/>
        <v>#REF!</v>
      </c>
      <c r="N22" s="8" t="e">
        <f t="shared" si="8"/>
        <v>#REF!</v>
      </c>
      <c r="V22" s="4" t="str">
        <f t="shared" si="4"/>
        <v>LLDC</v>
      </c>
      <c r="W22" s="11" t="e">
        <f t="shared" si="9"/>
        <v>#REF!</v>
      </c>
      <c r="X22" s="8" t="e">
        <f t="shared" si="9"/>
        <v>#REF!</v>
      </c>
    </row>
    <row r="23" spans="2:24" ht="14.65" thickBot="1">
      <c r="B23" s="5" t="s">
        <v>235</v>
      </c>
      <c r="C23" s="27" t="e">
        <f t="shared" si="5"/>
        <v>#REF!</v>
      </c>
      <c r="D23" s="19" t="e">
        <f t="shared" ref="D23" si="10">IF((D39-D10-C10)&gt;0,(D39-D10-C10),0)</f>
        <v>#REF!</v>
      </c>
      <c r="E23" s="129" t="s">
        <v>402</v>
      </c>
      <c r="F23" s="129"/>
      <c r="G23" s="129"/>
      <c r="H23" s="129"/>
      <c r="I23" s="129"/>
      <c r="J23" s="129"/>
      <c r="K23" s="129"/>
      <c r="L23" s="5" t="str">
        <f t="shared" si="7"/>
        <v>OPDC</v>
      </c>
      <c r="M23" s="10" t="e">
        <f t="shared" si="8"/>
        <v>#REF!</v>
      </c>
      <c r="N23" s="9" t="e">
        <f t="shared" si="8"/>
        <v>#REF!</v>
      </c>
      <c r="V23" s="5" t="str">
        <f t="shared" si="4"/>
        <v>OPDC</v>
      </c>
      <c r="W23" s="10" t="e">
        <f t="shared" si="9"/>
        <v>#REF!</v>
      </c>
      <c r="X23" s="9" t="e">
        <f t="shared" si="9"/>
        <v>#REF!</v>
      </c>
    </row>
    <row r="24" spans="2:24" ht="14.65" thickBot="1">
      <c r="B24" s="12" t="s">
        <v>0</v>
      </c>
      <c r="C24" s="20" t="e">
        <f>SUM(C17:C23)</f>
        <v>#REF!</v>
      </c>
      <c r="D24" s="15" t="e">
        <f>SUM(D17:D23)</f>
        <v>#REF!</v>
      </c>
      <c r="L24" s="12" t="str">
        <f t="shared" si="7"/>
        <v>Total</v>
      </c>
      <c r="M24" s="18" t="e">
        <f>SUM(M17:M23)</f>
        <v>#REF!</v>
      </c>
      <c r="N24" s="17" t="e">
        <f>SUM(N17:N23)</f>
        <v>#REF!</v>
      </c>
      <c r="V24" s="12" t="str">
        <f t="shared" si="4"/>
        <v>Total</v>
      </c>
      <c r="W24" s="18" t="e">
        <f t="shared" si="9"/>
        <v>#REF!</v>
      </c>
      <c r="X24" s="17" t="e">
        <f t="shared" si="9"/>
        <v>#REF!</v>
      </c>
    </row>
    <row r="30" spans="2:24" ht="14.65" thickBot="1">
      <c r="B30" s="52" t="s">
        <v>403</v>
      </c>
    </row>
    <row r="31" spans="2:24">
      <c r="B31" s="485" t="s">
        <v>404</v>
      </c>
      <c r="C31" s="131" t="s">
        <v>4</v>
      </c>
      <c r="D31" s="132" t="s">
        <v>4</v>
      </c>
    </row>
    <row r="32" spans="2:24" ht="14.65" thickBot="1">
      <c r="B32" s="486"/>
      <c r="C32" s="133" t="s">
        <v>40</v>
      </c>
      <c r="D32" s="134" t="s">
        <v>40</v>
      </c>
    </row>
    <row r="33" spans="2:7">
      <c r="B33" s="7" t="s">
        <v>232</v>
      </c>
      <c r="C33" s="141">
        <v>13.5</v>
      </c>
      <c r="D33" s="142">
        <v>13.5</v>
      </c>
      <c r="E33" s="128" t="s">
        <v>405</v>
      </c>
    </row>
    <row r="34" spans="2:7">
      <c r="B34" s="7" t="s">
        <v>233</v>
      </c>
      <c r="C34" s="143">
        <v>0.5</v>
      </c>
      <c r="D34" s="142">
        <v>0.5</v>
      </c>
      <c r="E34" s="128" t="s">
        <v>405</v>
      </c>
    </row>
    <row r="35" spans="2:7">
      <c r="B35" s="7" t="s">
        <v>37</v>
      </c>
      <c r="C35" s="143">
        <v>22.7</v>
      </c>
      <c r="D35" s="142">
        <v>22.7</v>
      </c>
      <c r="E35" s="128" t="s">
        <v>405</v>
      </c>
    </row>
    <row r="36" spans="2:7">
      <c r="B36" s="7" t="s">
        <v>234</v>
      </c>
      <c r="C36" s="143">
        <v>10</v>
      </c>
      <c r="D36" s="142">
        <v>10</v>
      </c>
      <c r="E36" s="128" t="s">
        <v>405</v>
      </c>
    </row>
    <row r="37" spans="2:7">
      <c r="B37" s="7" t="s">
        <v>39</v>
      </c>
      <c r="C37" s="143">
        <v>75.5</v>
      </c>
      <c r="D37" s="142">
        <v>75.5</v>
      </c>
      <c r="E37" s="128" t="s">
        <v>405</v>
      </c>
    </row>
    <row r="38" spans="2:7">
      <c r="B38" s="7" t="s">
        <v>114</v>
      </c>
      <c r="C38" s="143">
        <v>7.4</v>
      </c>
      <c r="D38" s="142">
        <v>7.4</v>
      </c>
      <c r="E38" s="128" t="s">
        <v>405</v>
      </c>
    </row>
    <row r="39" spans="2:7" ht="14.65" thickBot="1">
      <c r="B39" s="135" t="s">
        <v>235</v>
      </c>
      <c r="C39" s="144">
        <v>1</v>
      </c>
      <c r="D39" s="145">
        <v>1</v>
      </c>
      <c r="E39" s="128" t="s">
        <v>405</v>
      </c>
    </row>
    <row r="40" spans="2:7" ht="14.65" thickBot="1">
      <c r="B40" s="136" t="s">
        <v>0</v>
      </c>
      <c r="C40" s="146">
        <f>SUM(C33:C39)</f>
        <v>130.6</v>
      </c>
      <c r="D40" s="147">
        <f>SUM(D33:D39)</f>
        <v>130.6</v>
      </c>
    </row>
    <row r="45" spans="2:7" ht="14.65" thickBot="1"/>
    <row r="46" spans="2:7" ht="26.25">
      <c r="B46" s="481" t="s">
        <v>406</v>
      </c>
      <c r="C46" s="149"/>
      <c r="D46" s="149"/>
      <c r="E46" s="151" t="s">
        <v>407</v>
      </c>
      <c r="F46" s="150" t="s">
        <v>408</v>
      </c>
      <c r="G46" s="150" t="s">
        <v>409</v>
      </c>
    </row>
    <row r="47" spans="2:7" ht="14.65" thickBot="1">
      <c r="B47" s="482"/>
      <c r="C47" s="152"/>
      <c r="D47" s="152"/>
      <c r="E47" s="154" t="s">
        <v>40</v>
      </c>
      <c r="F47" s="153" t="s">
        <v>40</v>
      </c>
      <c r="G47" s="153" t="s">
        <v>40</v>
      </c>
    </row>
    <row r="48" spans="2:7">
      <c r="B48" s="127" t="s">
        <v>410</v>
      </c>
      <c r="C48" s="155" t="s">
        <v>114</v>
      </c>
      <c r="D48" s="155"/>
      <c r="E48" s="137">
        <v>0</v>
      </c>
      <c r="F48" s="156">
        <v>1.7</v>
      </c>
      <c r="G48" s="156">
        <v>4</v>
      </c>
    </row>
    <row r="49" spans="2:7">
      <c r="B49" s="127" t="s">
        <v>411</v>
      </c>
      <c r="C49" s="127" t="s">
        <v>39</v>
      </c>
      <c r="D49" s="127"/>
      <c r="E49" s="137">
        <v>0</v>
      </c>
      <c r="F49" s="156">
        <v>0.4</v>
      </c>
      <c r="G49" s="156">
        <v>2.7</v>
      </c>
    </row>
    <row r="50" spans="2:7">
      <c r="B50" s="127" t="s">
        <v>412</v>
      </c>
      <c r="C50" s="127" t="s">
        <v>39</v>
      </c>
      <c r="D50" s="127"/>
      <c r="E50" s="137">
        <v>0</v>
      </c>
      <c r="F50" s="156">
        <v>0</v>
      </c>
      <c r="G50" s="156">
        <v>7.9</v>
      </c>
    </row>
    <row r="51" spans="2:7">
      <c r="B51" s="127" t="s">
        <v>413</v>
      </c>
      <c r="C51" s="127" t="s">
        <v>39</v>
      </c>
      <c r="D51" s="127"/>
      <c r="E51" s="137">
        <v>0</v>
      </c>
      <c r="F51" s="156">
        <v>0</v>
      </c>
      <c r="G51" s="156">
        <v>12.3</v>
      </c>
    </row>
    <row r="52" spans="2:7">
      <c r="B52" s="127" t="s">
        <v>414</v>
      </c>
      <c r="C52" s="127" t="s">
        <v>39</v>
      </c>
      <c r="D52" s="127"/>
      <c r="E52" s="137">
        <v>0</v>
      </c>
      <c r="F52" s="156">
        <v>0</v>
      </c>
      <c r="G52" s="156">
        <v>0.4</v>
      </c>
    </row>
    <row r="53" spans="2:7">
      <c r="B53" s="127" t="s">
        <v>415</v>
      </c>
      <c r="C53" s="127" t="s">
        <v>39</v>
      </c>
      <c r="D53" s="127"/>
      <c r="E53" s="137">
        <v>0</v>
      </c>
      <c r="F53" s="156">
        <v>0</v>
      </c>
      <c r="G53" s="156">
        <v>0.6</v>
      </c>
    </row>
    <row r="54" spans="2:7">
      <c r="B54" s="127" t="s">
        <v>416</v>
      </c>
      <c r="C54" s="127" t="s">
        <v>39</v>
      </c>
      <c r="D54" s="127"/>
      <c r="E54" s="137">
        <v>0.4</v>
      </c>
      <c r="F54" s="156">
        <v>0.4</v>
      </c>
      <c r="G54" s="156">
        <v>3.2</v>
      </c>
    </row>
    <row r="55" spans="2:7">
      <c r="B55" s="127" t="s">
        <v>417</v>
      </c>
      <c r="C55" s="127" t="s">
        <v>39</v>
      </c>
      <c r="D55" s="127"/>
      <c r="E55" s="137">
        <v>0</v>
      </c>
      <c r="F55" s="156">
        <v>0</v>
      </c>
      <c r="G55" s="156">
        <v>0.2</v>
      </c>
    </row>
    <row r="56" spans="2:7">
      <c r="B56" s="127" t="s">
        <v>418</v>
      </c>
      <c r="C56" s="127" t="s">
        <v>39</v>
      </c>
      <c r="D56" s="127"/>
      <c r="E56" s="137">
        <v>0</v>
      </c>
      <c r="F56" s="156">
        <v>0.1</v>
      </c>
      <c r="G56" s="156">
        <v>0.9</v>
      </c>
    </row>
    <row r="57" spans="2:7">
      <c r="B57" s="127" t="s">
        <v>419</v>
      </c>
      <c r="C57" s="127" t="s">
        <v>39</v>
      </c>
      <c r="D57" s="127"/>
      <c r="E57" s="137">
        <v>0</v>
      </c>
      <c r="F57" s="156">
        <v>0</v>
      </c>
      <c r="G57" s="156">
        <v>5.7</v>
      </c>
    </row>
    <row r="58" spans="2:7">
      <c r="B58" s="127" t="s">
        <v>420</v>
      </c>
      <c r="C58" s="127" t="s">
        <v>39</v>
      </c>
      <c r="D58" s="127"/>
      <c r="E58" s="137">
        <v>0</v>
      </c>
      <c r="F58" s="156">
        <v>0</v>
      </c>
      <c r="G58" s="156">
        <v>3.3</v>
      </c>
    </row>
    <row r="59" spans="2:7">
      <c r="B59" s="127" t="s">
        <v>421</v>
      </c>
      <c r="C59" s="127" t="s">
        <v>36</v>
      </c>
      <c r="D59" s="127"/>
      <c r="E59" s="137">
        <v>2.2000000000000002</v>
      </c>
      <c r="F59" s="156">
        <v>8.1999999999999993</v>
      </c>
      <c r="G59" s="156">
        <v>49.2</v>
      </c>
    </row>
    <row r="60" spans="2:7">
      <c r="B60" s="127" t="s">
        <v>422</v>
      </c>
      <c r="C60" s="127" t="s">
        <v>423</v>
      </c>
      <c r="D60" s="127"/>
      <c r="E60" s="137">
        <v>0</v>
      </c>
      <c r="F60" s="156">
        <v>1.4</v>
      </c>
      <c r="G60" s="156">
        <v>5.6</v>
      </c>
    </row>
    <row r="61" spans="2:7" ht="14.65" thickBot="1">
      <c r="B61" s="157" t="s">
        <v>0</v>
      </c>
      <c r="C61" s="158"/>
      <c r="D61" s="158"/>
      <c r="E61" s="139">
        <f>SUM(E48:E60)</f>
        <v>2.6</v>
      </c>
      <c r="F61" s="138">
        <f>SUM(F48:F60)</f>
        <v>12.2</v>
      </c>
      <c r="G61" s="138">
        <f>SUM(G48:G60)</f>
        <v>96</v>
      </c>
    </row>
  </sheetData>
  <mergeCells count="8">
    <mergeCell ref="B46:B47"/>
    <mergeCell ref="V2:V3"/>
    <mergeCell ref="V15:V16"/>
    <mergeCell ref="B31:B32"/>
    <mergeCell ref="B2:B3"/>
    <mergeCell ref="B15:B16"/>
    <mergeCell ref="L2:L3"/>
    <mergeCell ref="L15:L16"/>
  </mergeCells>
  <conditionalFormatting sqref="W4:X11 W17:X24">
    <cfRule type="cellIs" dxfId="54" priority="2" operator="notEqual">
      <formula>0</formula>
    </cfRule>
  </conditionalFormatting>
  <conditionalFormatting sqref="C13:D13">
    <cfRule type="cellIs" dxfId="53" priority="1" operator="not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4427-4D55-4ACC-BECF-C7DDA3C71913}">
  <dimension ref="C5:D13"/>
  <sheetViews>
    <sheetView workbookViewId="0">
      <selection activeCell="D7" sqref="D7"/>
    </sheetView>
  </sheetViews>
  <sheetFormatPr defaultRowHeight="14.25"/>
  <sheetData>
    <row r="5" spans="3:4">
      <c r="C5" t="s">
        <v>434</v>
      </c>
    </row>
    <row r="6" spans="3:4">
      <c r="C6" t="s">
        <v>435</v>
      </c>
    </row>
    <row r="7" spans="3:4">
      <c r="C7" t="s">
        <v>37</v>
      </c>
      <c r="D7" t="e">
        <f>#REF!</f>
        <v>#REF!</v>
      </c>
    </row>
    <row r="8" spans="3:4">
      <c r="C8" t="s">
        <v>234</v>
      </c>
      <c r="D8" t="e">
        <f>#REF!</f>
        <v>#REF!</v>
      </c>
    </row>
    <row r="9" spans="3:4">
      <c r="C9" t="s">
        <v>39</v>
      </c>
      <c r="D9" t="e">
        <f>#REF!</f>
        <v>#REF!</v>
      </c>
    </row>
    <row r="10" spans="3:4">
      <c r="C10" t="s">
        <v>114</v>
      </c>
      <c r="D10">
        <v>0</v>
      </c>
    </row>
    <row r="11" spans="3:4">
      <c r="C11" t="s">
        <v>235</v>
      </c>
      <c r="D11">
        <v>0</v>
      </c>
    </row>
    <row r="13" spans="3:4">
      <c r="D13" t="e">
        <f>SUM(D6:D11)</f>
        <v>#REF!</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191-76C9-4F90-8509-746038152D29}">
  <sheetPr>
    <tabColor rgb="FF92D050"/>
  </sheetPr>
  <dimension ref="A1"/>
  <sheetViews>
    <sheetView showGridLines="0" workbookViewId="0">
      <selection activeCell="M30" sqref="M30"/>
    </sheetView>
  </sheetViews>
  <sheetFormatPr defaultRowHeight="14.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3B29-0614-43AD-8EE7-75C7F939BFA0}">
  <dimension ref="A1:Z45"/>
  <sheetViews>
    <sheetView showGridLines="0" workbookViewId="0">
      <selection activeCell="K31" sqref="K31"/>
    </sheetView>
  </sheetViews>
  <sheetFormatPr defaultRowHeight="14.25"/>
  <cols>
    <col min="1" max="1" width="57.73046875" customWidth="1"/>
    <col min="2" max="9" width="23.73046875" customWidth="1"/>
    <col min="10" max="10" width="14.86328125" customWidth="1"/>
    <col min="11" max="11" width="5.59765625" customWidth="1"/>
    <col min="12" max="25" width="12.3984375" customWidth="1"/>
    <col min="26" max="26" width="11.59765625" customWidth="1"/>
  </cols>
  <sheetData>
    <row r="1" spans="1:26" ht="40.15" thickTop="1" thickBot="1">
      <c r="A1" s="160" t="s">
        <v>430</v>
      </c>
      <c r="B1" s="161" t="s">
        <v>428</v>
      </c>
      <c r="C1" s="161" t="s">
        <v>429</v>
      </c>
      <c r="D1" s="161" t="s">
        <v>37</v>
      </c>
      <c r="E1" s="161" t="s">
        <v>38</v>
      </c>
      <c r="F1" s="161" t="s">
        <v>39</v>
      </c>
      <c r="G1" s="161" t="s">
        <v>114</v>
      </c>
      <c r="H1" s="161" t="s">
        <v>235</v>
      </c>
      <c r="I1" s="161" t="s">
        <v>0</v>
      </c>
      <c r="J1" s="169"/>
      <c r="K1" s="163"/>
      <c r="L1" s="164" t="s">
        <v>426</v>
      </c>
      <c r="M1" s="164" t="s">
        <v>239</v>
      </c>
      <c r="N1" s="164" t="s">
        <v>237</v>
      </c>
      <c r="O1" s="164" t="s">
        <v>427</v>
      </c>
      <c r="P1" s="164" t="s">
        <v>258</v>
      </c>
      <c r="Q1" s="164" t="s">
        <v>436</v>
      </c>
      <c r="R1" s="164" t="s">
        <v>437</v>
      </c>
      <c r="S1" s="164" t="s">
        <v>438</v>
      </c>
      <c r="T1" s="164" t="s">
        <v>439</v>
      </c>
      <c r="U1" s="164" t="s">
        <v>440</v>
      </c>
      <c r="V1" s="164" t="s">
        <v>441</v>
      </c>
      <c r="W1" s="165" t="s">
        <v>0</v>
      </c>
      <c r="X1" s="190"/>
      <c r="Y1" s="191" t="s">
        <v>432</v>
      </c>
    </row>
    <row r="2" spans="1:26" ht="15.75" thickTop="1" thickBot="1">
      <c r="A2" s="166" t="s">
        <v>442</v>
      </c>
      <c r="B2" s="167" t="e">
        <f>#REF!*1000000</f>
        <v>#REF!</v>
      </c>
      <c r="C2" s="167" t="e">
        <f>#REF!*1000000-14834.25</f>
        <v>#REF!</v>
      </c>
      <c r="D2" s="167" t="e">
        <f>#REF!*1000000+63087</f>
        <v>#REF!</v>
      </c>
      <c r="E2" s="167" t="e">
        <f>#REF!*1000000</f>
        <v>#REF!</v>
      </c>
      <c r="F2" s="167" t="e">
        <f>#REF!*1000000-8973.89</f>
        <v>#REF!</v>
      </c>
      <c r="G2" s="167" t="e">
        <f>#REF!*1000000</f>
        <v>#REF!</v>
      </c>
      <c r="H2" s="167" t="e">
        <f>#REF!*1000000</f>
        <v>#REF!</v>
      </c>
      <c r="I2" s="263" t="e">
        <f>(SUM(B2:H2))</f>
        <v>#REF!</v>
      </c>
      <c r="J2" s="169"/>
      <c r="K2" s="168"/>
      <c r="L2" s="169" t="e">
        <f>#REF!</f>
        <v>#REF!</v>
      </c>
      <c r="M2" s="169"/>
      <c r="N2" s="169"/>
      <c r="O2" s="169"/>
      <c r="P2" s="169"/>
      <c r="Q2" s="169"/>
      <c r="R2" s="169"/>
      <c r="S2" s="169"/>
      <c r="T2" s="169"/>
      <c r="U2" s="169"/>
      <c r="V2" s="169"/>
      <c r="W2" s="170" t="e">
        <f t="shared" ref="W2:W17" si="0">SUM(L2:V2)</f>
        <v>#REF!</v>
      </c>
      <c r="X2" s="169"/>
      <c r="Y2" s="169" t="e">
        <f>W2-I2/1000000</f>
        <v>#REF!</v>
      </c>
      <c r="Z2" s="106"/>
    </row>
    <row r="3" spans="1:26" ht="15.75" thickTop="1" thickBot="1">
      <c r="A3" s="171" t="s">
        <v>443</v>
      </c>
      <c r="B3" s="167">
        <v>0</v>
      </c>
      <c r="C3" s="167">
        <v>0</v>
      </c>
      <c r="D3" s="167">
        <v>0</v>
      </c>
      <c r="E3" s="167">
        <v>0</v>
      </c>
      <c r="F3" s="167">
        <v>0</v>
      </c>
      <c r="G3" s="167">
        <v>0</v>
      </c>
      <c r="H3" s="167">
        <v>0</v>
      </c>
      <c r="I3" s="263">
        <f>(SUM(B3:H3))</f>
        <v>0</v>
      </c>
      <c r="J3" s="169"/>
      <c r="K3" s="168"/>
      <c r="L3" s="169"/>
      <c r="M3" s="169"/>
      <c r="N3" s="169"/>
      <c r="O3" s="169"/>
      <c r="P3" s="169"/>
      <c r="Q3" s="169"/>
      <c r="R3" s="169"/>
      <c r="S3" s="169"/>
      <c r="T3" s="169"/>
      <c r="U3" s="169"/>
      <c r="V3" s="169"/>
      <c r="W3" s="170">
        <f t="shared" si="0"/>
        <v>0</v>
      </c>
      <c r="X3" s="169"/>
      <c r="Y3" s="169">
        <f>W3-I3/1000000</f>
        <v>0</v>
      </c>
    </row>
    <row r="4" spans="1:26" ht="30.75" thickTop="1" thickBot="1">
      <c r="A4" s="172" t="s">
        <v>444</v>
      </c>
      <c r="B4" s="167">
        <v>0</v>
      </c>
      <c r="C4" s="167" t="e">
        <f>#REF!*1000</f>
        <v>#REF!</v>
      </c>
      <c r="D4" s="167">
        <v>0</v>
      </c>
      <c r="E4" s="167">
        <v>0</v>
      </c>
      <c r="F4" s="167" t="e">
        <f>(+#REF!)*1000000</f>
        <v>#REF!</v>
      </c>
      <c r="G4" s="167">
        <v>0</v>
      </c>
      <c r="H4" s="167">
        <v>0</v>
      </c>
      <c r="I4" s="263" t="e">
        <f>(SUM(B4:H4))</f>
        <v>#REF!</v>
      </c>
      <c r="J4" s="169"/>
      <c r="K4" s="168"/>
      <c r="L4" s="169"/>
      <c r="M4" s="169" t="e">
        <f>#REF!</f>
        <v>#REF!</v>
      </c>
      <c r="N4" s="169"/>
      <c r="O4" s="169"/>
      <c r="P4" s="169"/>
      <c r="Q4" s="169"/>
      <c r="R4" s="169"/>
      <c r="S4" s="169"/>
      <c r="T4" s="169"/>
      <c r="U4" s="169"/>
      <c r="V4" s="169"/>
      <c r="W4" s="170" t="e">
        <f t="shared" si="0"/>
        <v>#REF!</v>
      </c>
      <c r="X4" s="169"/>
      <c r="Y4" s="169" t="e">
        <f>W4-I4/1000000</f>
        <v>#REF!</v>
      </c>
    </row>
    <row r="5" spans="1:26" ht="15.75" thickTop="1" thickBot="1">
      <c r="A5" s="172" t="s">
        <v>445</v>
      </c>
      <c r="B5" s="167">
        <v>0</v>
      </c>
      <c r="C5" s="167">
        <v>0</v>
      </c>
      <c r="D5" s="167">
        <v>0</v>
      </c>
      <c r="E5" s="167">
        <v>0</v>
      </c>
      <c r="F5" s="167">
        <v>0</v>
      </c>
      <c r="G5" s="167">
        <v>0</v>
      </c>
      <c r="H5" s="167">
        <v>0</v>
      </c>
      <c r="I5" s="167">
        <f t="shared" ref="I5" si="1">ROUND(SUM(B5:H5),0)</f>
        <v>0</v>
      </c>
      <c r="J5" s="169"/>
      <c r="K5" s="168"/>
      <c r="L5" s="169"/>
      <c r="M5" s="169"/>
      <c r="N5" s="169"/>
      <c r="O5" s="169"/>
      <c r="P5" s="169"/>
      <c r="Q5" s="169"/>
      <c r="R5" s="169"/>
      <c r="S5" s="169"/>
      <c r="T5" s="169"/>
      <c r="U5" s="169"/>
      <c r="V5" s="169"/>
      <c r="W5" s="170">
        <f t="shared" si="0"/>
        <v>0</v>
      </c>
      <c r="X5" s="169"/>
      <c r="Y5" s="169">
        <f>W5-I5/1000000</f>
        <v>0</v>
      </c>
    </row>
    <row r="6" spans="1:26" ht="15.75" thickTop="1" thickBot="1">
      <c r="A6" s="173" t="s">
        <v>446</v>
      </c>
      <c r="B6" s="174" t="e">
        <f t="shared" ref="B6:H6" si="2">SUM(B2:B5)</f>
        <v>#REF!</v>
      </c>
      <c r="C6" s="174" t="e">
        <f t="shared" si="2"/>
        <v>#REF!</v>
      </c>
      <c r="D6" s="174" t="e">
        <f t="shared" si="2"/>
        <v>#REF!</v>
      </c>
      <c r="E6" s="174" t="e">
        <f t="shared" si="2"/>
        <v>#REF!</v>
      </c>
      <c r="F6" s="174" t="e">
        <f t="shared" si="2"/>
        <v>#REF!</v>
      </c>
      <c r="G6" s="174" t="e">
        <f t="shared" si="2"/>
        <v>#REF!</v>
      </c>
      <c r="H6" s="174" t="e">
        <f t="shared" si="2"/>
        <v>#REF!</v>
      </c>
      <c r="I6" s="174" t="e">
        <f>ROUND(SUM(I2:I5),0)</f>
        <v>#REF!</v>
      </c>
      <c r="J6" s="169"/>
      <c r="K6" s="168"/>
      <c r="L6" s="169"/>
      <c r="M6" s="169"/>
      <c r="N6" s="169"/>
      <c r="O6" s="169"/>
      <c r="P6" s="169"/>
      <c r="Q6" s="169"/>
      <c r="R6" s="169"/>
      <c r="S6" s="169"/>
      <c r="T6" s="169"/>
      <c r="U6" s="169"/>
      <c r="V6" s="169"/>
      <c r="W6" s="170">
        <f t="shared" si="0"/>
        <v>0</v>
      </c>
      <c r="X6" s="169"/>
      <c r="Y6" s="169"/>
    </row>
    <row r="7" spans="1:26" ht="15.75" thickTop="1" thickBot="1">
      <c r="A7" s="176"/>
      <c r="H7" s="167"/>
      <c r="J7" s="169"/>
      <c r="K7" s="168"/>
      <c r="L7" s="169"/>
      <c r="M7" s="169"/>
      <c r="N7" s="169"/>
      <c r="O7" s="169"/>
      <c r="P7" s="169"/>
      <c r="Q7" s="169"/>
      <c r="R7" s="169"/>
      <c r="S7" s="169"/>
      <c r="T7" s="169"/>
      <c r="U7" s="169"/>
      <c r="V7" s="169"/>
      <c r="W7" s="170">
        <f t="shared" si="0"/>
        <v>0</v>
      </c>
      <c r="X7" s="169"/>
      <c r="Y7" s="169"/>
    </row>
    <row r="8" spans="1:26" ht="15" thickTop="1" thickBot="1">
      <c r="A8" s="160" t="s">
        <v>430</v>
      </c>
      <c r="B8" s="161" t="s">
        <v>428</v>
      </c>
      <c r="C8" s="161" t="s">
        <v>429</v>
      </c>
      <c r="D8" s="161" t="s">
        <v>37</v>
      </c>
      <c r="E8" s="161" t="s">
        <v>38</v>
      </c>
      <c r="F8" s="161" t="s">
        <v>39</v>
      </c>
      <c r="G8" s="161" t="s">
        <v>114</v>
      </c>
      <c r="H8" s="161" t="s">
        <v>235</v>
      </c>
      <c r="I8" s="161" t="s">
        <v>0</v>
      </c>
      <c r="J8" s="169"/>
      <c r="K8" s="168"/>
      <c r="L8" s="169"/>
      <c r="M8" s="169"/>
      <c r="N8" s="169"/>
      <c r="O8" s="169"/>
      <c r="P8" s="169"/>
      <c r="Q8" s="169"/>
      <c r="R8" s="169"/>
      <c r="S8" s="169"/>
      <c r="T8" s="169"/>
      <c r="U8" s="169"/>
      <c r="V8" s="169"/>
      <c r="W8" s="170">
        <f t="shared" si="0"/>
        <v>0</v>
      </c>
      <c r="X8" s="169"/>
      <c r="Y8" s="169"/>
    </row>
    <row r="9" spans="1:26" ht="15.75" thickTop="1" thickBot="1">
      <c r="A9" s="172" t="s">
        <v>447</v>
      </c>
      <c r="B9" s="177" t="e">
        <f>#REF!*1000000</f>
        <v>#REF!</v>
      </c>
      <c r="C9" s="177" t="e">
        <f>#REF!*1000</f>
        <v>#REF!</v>
      </c>
      <c r="D9" s="177" t="e">
        <f>#REF!*1000000</f>
        <v>#REF!</v>
      </c>
      <c r="E9" s="177" t="e">
        <f>#REF!*1000000</f>
        <v>#REF!</v>
      </c>
      <c r="F9" s="177" t="e">
        <f>(#REF!+#REF!)*1000000</f>
        <v>#REF!</v>
      </c>
      <c r="G9" s="177" t="e">
        <f>#REF!*1000000</f>
        <v>#REF!</v>
      </c>
      <c r="H9" s="177" t="e">
        <f>#REF!*1000000</f>
        <v>#REF!</v>
      </c>
      <c r="I9" s="264" t="e">
        <f t="shared" ref="I9:I15" si="3">ROUND(SUM(B9:H9),0)</f>
        <v>#REF!</v>
      </c>
      <c r="J9" s="169"/>
      <c r="K9" s="168"/>
      <c r="L9" s="169"/>
      <c r="M9" s="169"/>
      <c r="N9" s="169" t="e">
        <f>#REF!</f>
        <v>#REF!</v>
      </c>
      <c r="O9" s="169" t="e">
        <f>#REF!</f>
        <v>#REF!</v>
      </c>
      <c r="P9" s="169"/>
      <c r="Q9" s="169"/>
      <c r="R9" s="169"/>
      <c r="S9" s="169"/>
      <c r="T9" s="169"/>
      <c r="U9" s="169"/>
      <c r="V9" s="169"/>
      <c r="W9" s="170" t="e">
        <f t="shared" si="0"/>
        <v>#REF!</v>
      </c>
      <c r="X9" s="169"/>
      <c r="Y9" s="169" t="e">
        <f>W9-I9/1000000</f>
        <v>#REF!</v>
      </c>
    </row>
    <row r="10" spans="1:26" ht="15.75" thickTop="1" thickBot="1">
      <c r="A10" s="172" t="s">
        <v>448</v>
      </c>
      <c r="B10" s="177" t="e">
        <f>-#REF!*1000000</f>
        <v>#REF!</v>
      </c>
      <c r="C10" s="177">
        <v>-500000</v>
      </c>
      <c r="D10" s="177" t="e">
        <f>-#REF!*1000000</f>
        <v>#REF!</v>
      </c>
      <c r="E10" s="177" t="e">
        <f>-#REF!*1000000</f>
        <v>#REF!</v>
      </c>
      <c r="F10" s="177" t="e">
        <f>(-#REF!)*1000000</f>
        <v>#REF!</v>
      </c>
      <c r="G10" s="177" t="e">
        <f>-#REF!*1000</f>
        <v>#REF!</v>
      </c>
      <c r="H10" s="177" t="e">
        <f>-#REF!*1000</f>
        <v>#REF!</v>
      </c>
      <c r="I10" s="264" t="e">
        <f t="shared" si="3"/>
        <v>#REF!</v>
      </c>
      <c r="J10" s="169"/>
      <c r="K10" s="168"/>
      <c r="L10" s="169"/>
      <c r="M10" s="169"/>
      <c r="N10" s="169"/>
      <c r="O10" s="169"/>
      <c r="P10" s="169" t="e">
        <f>#REF!</f>
        <v>#REF!</v>
      </c>
      <c r="Q10" s="169"/>
      <c r="R10" s="169" t="e">
        <f>#REF!</f>
        <v>#REF!</v>
      </c>
      <c r="S10" s="169" t="e">
        <f>#REF!</f>
        <v>#REF!</v>
      </c>
      <c r="T10" s="169"/>
      <c r="U10" s="169"/>
      <c r="V10" s="169"/>
      <c r="W10" s="170" t="e">
        <f t="shared" si="0"/>
        <v>#REF!</v>
      </c>
      <c r="X10" s="169"/>
      <c r="Y10" s="169" t="e">
        <f>W10-I10/1000000</f>
        <v>#REF!</v>
      </c>
    </row>
    <row r="11" spans="1:26" ht="15.75" thickTop="1" thickBot="1">
      <c r="A11" s="172" t="s">
        <v>449</v>
      </c>
      <c r="B11" s="177" t="e">
        <f>-#REF!*1000000</f>
        <v>#REF!</v>
      </c>
      <c r="C11" s="177">
        <v>0</v>
      </c>
      <c r="D11" s="177" t="e">
        <f>-#REF!*1000000</f>
        <v>#REF!</v>
      </c>
      <c r="E11" s="177">
        <v>0</v>
      </c>
      <c r="F11" s="177" t="e">
        <f>-#REF!*1000000</f>
        <v>#REF!</v>
      </c>
      <c r="G11" s="177">
        <v>0</v>
      </c>
      <c r="H11" s="177">
        <v>0</v>
      </c>
      <c r="I11" s="264" t="e">
        <f t="shared" si="3"/>
        <v>#REF!</v>
      </c>
      <c r="J11" s="169"/>
      <c r="K11" s="168"/>
      <c r="L11" s="169"/>
      <c r="M11" s="169"/>
      <c r="N11" s="169"/>
      <c r="O11" s="169"/>
      <c r="P11" s="169"/>
      <c r="Q11" s="169" t="e">
        <f>#REF!</f>
        <v>#REF!</v>
      </c>
      <c r="R11" s="169"/>
      <c r="S11" s="169"/>
      <c r="T11" s="169"/>
      <c r="U11" s="169"/>
      <c r="V11" s="169"/>
      <c r="W11" s="170" t="e">
        <f t="shared" si="0"/>
        <v>#REF!</v>
      </c>
      <c r="X11" s="169"/>
      <c r="Y11" s="169" t="e">
        <f>W11-I11/1000000</f>
        <v>#REF!</v>
      </c>
    </row>
    <row r="12" spans="1:26" ht="15.75" thickTop="1" thickBot="1">
      <c r="A12" s="172" t="s">
        <v>450</v>
      </c>
      <c r="B12" s="177" t="e">
        <f>-#REF!*1000000-50000</f>
        <v>#REF!</v>
      </c>
      <c r="C12" s="177" t="e">
        <f>-#REF!*1000000</f>
        <v>#REF!</v>
      </c>
      <c r="D12" s="177">
        <v>-27923141.597400099</v>
      </c>
      <c r="E12" s="177">
        <v>-228108153.6072</v>
      </c>
      <c r="F12" s="177" t="e">
        <f>-#REF!*1000000</f>
        <v>#REF!</v>
      </c>
      <c r="G12" s="177" t="e">
        <f>-#REF!*1000000</f>
        <v>#REF!</v>
      </c>
      <c r="H12" s="177" t="e">
        <f>-#REF!*1000000</f>
        <v>#REF!</v>
      </c>
      <c r="I12" s="264" t="e">
        <f t="shared" si="3"/>
        <v>#REF!</v>
      </c>
      <c r="J12" s="169"/>
      <c r="K12" s="168"/>
      <c r="L12" s="169"/>
      <c r="M12" s="169"/>
      <c r="N12" s="169"/>
      <c r="O12" s="169"/>
      <c r="P12" s="169"/>
      <c r="Q12" s="169"/>
      <c r="R12" s="169"/>
      <c r="S12" s="169"/>
      <c r="T12" s="169"/>
      <c r="U12" s="169" t="e">
        <f>#REF!</f>
        <v>#REF!</v>
      </c>
      <c r="V12" s="169"/>
      <c r="W12" s="170" t="e">
        <f t="shared" si="0"/>
        <v>#REF!</v>
      </c>
      <c r="X12" s="169"/>
      <c r="Y12" s="169" t="e">
        <f>W12-I12/1000000</f>
        <v>#REF!</v>
      </c>
    </row>
    <row r="13" spans="1:26" ht="15.75" thickTop="1" thickBot="1">
      <c r="A13" s="172" t="s">
        <v>451</v>
      </c>
      <c r="B13" s="270">
        <v>545102</v>
      </c>
      <c r="C13" s="270">
        <v>21474</v>
      </c>
      <c r="D13" s="270">
        <v>6295768</v>
      </c>
      <c r="E13" s="270">
        <v>1380359</v>
      </c>
      <c r="F13" s="270">
        <v>49192</v>
      </c>
      <c r="G13" s="177">
        <v>0</v>
      </c>
      <c r="H13" s="177">
        <v>0</v>
      </c>
      <c r="I13" s="264">
        <f t="shared" si="3"/>
        <v>8291895</v>
      </c>
      <c r="J13" s="169"/>
      <c r="K13" s="168"/>
      <c r="L13" s="169"/>
      <c r="M13" s="169"/>
      <c r="N13" s="169"/>
      <c r="O13" s="169"/>
      <c r="P13" s="169"/>
      <c r="Q13" s="169"/>
      <c r="R13" s="169"/>
      <c r="S13" s="169"/>
      <c r="T13" s="169">
        <v>0</v>
      </c>
      <c r="U13" s="169"/>
      <c r="V13" s="169"/>
      <c r="W13" s="170">
        <f t="shared" si="0"/>
        <v>0</v>
      </c>
      <c r="X13" s="169"/>
      <c r="Y13" s="169">
        <f>W13-I13/1000000</f>
        <v>-8.2918950000000002</v>
      </c>
    </row>
    <row r="14" spans="1:26" ht="15.75" thickTop="1" thickBot="1">
      <c r="A14" s="178" t="s">
        <v>452</v>
      </c>
      <c r="B14" s="179" t="e">
        <f t="shared" ref="B14:H14" si="4">+B9+B10+B11+B12+B13</f>
        <v>#REF!</v>
      </c>
      <c r="C14" s="179" t="e">
        <f t="shared" si="4"/>
        <v>#REF!</v>
      </c>
      <c r="D14" s="179" t="e">
        <f t="shared" si="4"/>
        <v>#REF!</v>
      </c>
      <c r="E14" s="268" t="e">
        <f t="shared" si="4"/>
        <v>#REF!</v>
      </c>
      <c r="F14" s="179" t="e">
        <f t="shared" si="4"/>
        <v>#REF!</v>
      </c>
      <c r="G14" s="179" t="e">
        <f t="shared" si="4"/>
        <v>#REF!</v>
      </c>
      <c r="H14" s="179" t="e">
        <f t="shared" si="4"/>
        <v>#REF!</v>
      </c>
      <c r="I14" s="265" t="e">
        <f>ROUND(+I9+I10+I11+I12+I13,0)</f>
        <v>#REF!</v>
      </c>
      <c r="J14" s="169"/>
      <c r="K14" s="168"/>
      <c r="L14" s="169"/>
      <c r="M14" s="169"/>
      <c r="N14" s="169"/>
      <c r="O14" s="169"/>
      <c r="P14" s="169"/>
      <c r="Q14" s="169"/>
      <c r="R14" s="169"/>
      <c r="S14" s="169"/>
      <c r="T14" s="169"/>
      <c r="U14" s="169"/>
      <c r="V14" s="169"/>
      <c r="W14" s="170"/>
      <c r="X14" s="169"/>
      <c r="Y14" s="169"/>
    </row>
    <row r="15" spans="1:26" ht="15.75" thickTop="1" thickBot="1">
      <c r="A15" s="166" t="s">
        <v>453</v>
      </c>
      <c r="B15" s="177" t="e">
        <f>(#REF!+#REF!+#REF!+#REF!)*1000000</f>
        <v>#REF!</v>
      </c>
      <c r="C15" s="180">
        <v>0</v>
      </c>
      <c r="D15" s="177" t="e">
        <f>#REF!*1000000</f>
        <v>#REF!</v>
      </c>
      <c r="E15" s="181" t="e">
        <f>#REF!*1000000</f>
        <v>#REF!</v>
      </c>
      <c r="F15" s="177" t="e">
        <f>#REF!*1000000</f>
        <v>#REF!</v>
      </c>
      <c r="G15" s="177">
        <v>0</v>
      </c>
      <c r="H15" s="177">
        <v>0</v>
      </c>
      <c r="I15" s="264" t="e">
        <f t="shared" si="3"/>
        <v>#REF!</v>
      </c>
      <c r="J15" s="169"/>
      <c r="K15" s="168"/>
      <c r="L15" s="169"/>
      <c r="M15" s="169"/>
      <c r="N15" s="169"/>
      <c r="O15" s="169"/>
      <c r="P15" s="169"/>
      <c r="Q15" s="169"/>
      <c r="R15" s="169"/>
      <c r="S15" s="169"/>
      <c r="T15" s="169"/>
      <c r="U15" s="169"/>
      <c r="V15" s="169"/>
      <c r="W15" s="170">
        <f t="shared" si="0"/>
        <v>0</v>
      </c>
      <c r="X15" s="169"/>
      <c r="Y15" s="169" t="e">
        <f>W15-I15/1000000</f>
        <v>#REF!</v>
      </c>
    </row>
    <row r="16" spans="1:26" ht="15.75" thickTop="1" thickBot="1">
      <c r="A16" s="178" t="s">
        <v>454</v>
      </c>
      <c r="B16" s="179" t="e">
        <f>+B15+B14</f>
        <v>#REF!</v>
      </c>
      <c r="C16" s="179" t="e">
        <f t="shared" ref="C16:H16" si="5">+C15+C14</f>
        <v>#REF!</v>
      </c>
      <c r="D16" s="179" t="e">
        <f t="shared" si="5"/>
        <v>#REF!</v>
      </c>
      <c r="E16" s="179" t="e">
        <f t="shared" si="5"/>
        <v>#REF!</v>
      </c>
      <c r="F16" s="179" t="e">
        <f t="shared" si="5"/>
        <v>#REF!</v>
      </c>
      <c r="G16" s="179" t="e">
        <f t="shared" si="5"/>
        <v>#REF!</v>
      </c>
      <c r="H16" s="179" t="e">
        <f t="shared" si="5"/>
        <v>#REF!</v>
      </c>
      <c r="I16" s="265" t="e">
        <f>ROUND(SUM(B16:H16),0)</f>
        <v>#REF!</v>
      </c>
      <c r="J16" s="169"/>
      <c r="K16" s="168"/>
      <c r="L16" s="169"/>
      <c r="M16" s="169"/>
      <c r="N16" s="169"/>
      <c r="O16" s="169"/>
      <c r="P16" s="169"/>
      <c r="Q16" s="169"/>
      <c r="R16" s="169"/>
      <c r="S16" s="169"/>
      <c r="T16" s="169"/>
      <c r="U16" s="169"/>
      <c r="V16" s="169"/>
      <c r="W16" s="170">
        <f t="shared" si="0"/>
        <v>0</v>
      </c>
      <c r="X16" s="169"/>
      <c r="Y16" s="169"/>
    </row>
    <row r="17" spans="1:25" ht="15.75" thickTop="1" thickBot="1">
      <c r="A17" s="182" t="s">
        <v>262</v>
      </c>
      <c r="B17" s="183">
        <v>65563309.539999999</v>
      </c>
      <c r="C17" s="183">
        <v>2628575.08</v>
      </c>
      <c r="D17" s="183">
        <v>804911048.53999996</v>
      </c>
      <c r="E17" s="183">
        <v>171824212.59999999</v>
      </c>
      <c r="F17" s="183">
        <v>51634882.950000003</v>
      </c>
      <c r="G17" s="183">
        <v>0</v>
      </c>
      <c r="H17" s="183">
        <v>0</v>
      </c>
      <c r="I17" s="266">
        <f>SUM(B17:H17)</f>
        <v>1096562028.71</v>
      </c>
      <c r="J17" s="169"/>
      <c r="K17" s="168"/>
      <c r="L17" s="169"/>
      <c r="M17" s="169"/>
      <c r="N17" s="169"/>
      <c r="O17" s="169"/>
      <c r="P17" s="169"/>
      <c r="Q17" s="169"/>
      <c r="R17" s="169"/>
      <c r="S17" s="169"/>
      <c r="T17" s="169"/>
      <c r="U17" s="169"/>
      <c r="V17" s="169" t="e">
        <f>#REF!</f>
        <v>#REF!</v>
      </c>
      <c r="W17" s="170" t="e">
        <f t="shared" si="0"/>
        <v>#REF!</v>
      </c>
      <c r="X17" s="169"/>
      <c r="Y17" s="169" t="e">
        <f>W17-I17/1000000</f>
        <v>#REF!</v>
      </c>
    </row>
    <row r="18" spans="1:25" ht="15.75" thickTop="1" thickBot="1">
      <c r="A18" s="182"/>
      <c r="B18" s="184"/>
      <c r="C18" s="184"/>
      <c r="D18" s="184"/>
      <c r="E18" s="184"/>
      <c r="F18" s="184"/>
      <c r="G18" s="184"/>
      <c r="H18" s="185"/>
      <c r="I18" s="184"/>
      <c r="J18" s="169"/>
      <c r="K18" s="168"/>
      <c r="L18" s="169"/>
      <c r="M18" s="169"/>
      <c r="N18" s="169"/>
      <c r="O18" s="169"/>
      <c r="P18" s="169"/>
      <c r="Q18" s="169"/>
      <c r="R18" s="169"/>
      <c r="S18" s="169"/>
      <c r="T18" s="169"/>
      <c r="U18" s="169"/>
      <c r="V18" s="169"/>
      <c r="W18" s="170"/>
      <c r="X18" s="169"/>
      <c r="Y18" s="169">
        <f>W18-I18/1000</f>
        <v>0</v>
      </c>
    </row>
    <row r="19" spans="1:25" ht="15.75" thickTop="1" thickBot="1">
      <c r="A19" s="182"/>
      <c r="B19" s="184"/>
      <c r="C19" s="184"/>
      <c r="D19" s="184"/>
      <c r="E19" s="184"/>
      <c r="F19" s="184"/>
      <c r="G19" s="184"/>
      <c r="H19" s="174"/>
      <c r="I19" s="184"/>
      <c r="J19" s="169"/>
      <c r="K19" s="186" t="s">
        <v>0</v>
      </c>
      <c r="L19" s="187" t="e">
        <f>SUM(L2:L18)</f>
        <v>#REF!</v>
      </c>
      <c r="M19" s="187" t="e">
        <f t="shared" ref="M19:V19" si="6">SUM(M2:M18)</f>
        <v>#REF!</v>
      </c>
      <c r="N19" s="187" t="e">
        <f t="shared" si="6"/>
        <v>#REF!</v>
      </c>
      <c r="O19" s="187" t="e">
        <f t="shared" si="6"/>
        <v>#REF!</v>
      </c>
      <c r="P19" s="187" t="e">
        <f t="shared" si="6"/>
        <v>#REF!</v>
      </c>
      <c r="Q19" s="187" t="e">
        <f t="shared" si="6"/>
        <v>#REF!</v>
      </c>
      <c r="R19" s="187" t="e">
        <f t="shared" si="6"/>
        <v>#REF!</v>
      </c>
      <c r="S19" s="187" t="e">
        <f t="shared" si="6"/>
        <v>#REF!</v>
      </c>
      <c r="T19" s="187">
        <f t="shared" si="6"/>
        <v>0</v>
      </c>
      <c r="U19" s="187" t="e">
        <f t="shared" si="6"/>
        <v>#REF!</v>
      </c>
      <c r="V19" s="187" t="e">
        <f t="shared" si="6"/>
        <v>#REF!</v>
      </c>
      <c r="W19" s="188" t="e">
        <f>SUM(W2:W16)</f>
        <v>#REF!</v>
      </c>
      <c r="X19" s="169"/>
      <c r="Y19" s="169"/>
    </row>
    <row r="20" spans="1:25" ht="15.75" thickTop="1" thickBot="1">
      <c r="A20" s="182" t="s">
        <v>455</v>
      </c>
      <c r="B20" s="267">
        <f>B17/B21</f>
        <v>3021350.6700460832</v>
      </c>
      <c r="C20" s="267">
        <f>C17/C21</f>
        <v>3021350.666666667</v>
      </c>
      <c r="D20" s="267">
        <f>D17/D21</f>
        <v>3013181.0299854004</v>
      </c>
      <c r="E20" s="267">
        <f>E17/E21</f>
        <v>3021350.6699490068</v>
      </c>
      <c r="F20" s="267">
        <f>F17/F21</f>
        <v>3021350.6699824459</v>
      </c>
      <c r="G20" s="267">
        <v>0</v>
      </c>
      <c r="H20" s="267">
        <v>0</v>
      </c>
      <c r="I20" s="189"/>
      <c r="J20" s="169"/>
      <c r="K20" s="175"/>
      <c r="L20" s="169"/>
      <c r="M20" s="169"/>
      <c r="N20" s="169"/>
      <c r="O20" s="169"/>
      <c r="P20" s="169"/>
      <c r="Q20" s="169"/>
      <c r="R20" s="169"/>
      <c r="S20" s="169"/>
      <c r="T20" s="169"/>
      <c r="U20" s="169"/>
      <c r="V20" s="169" t="e">
        <f>SUM(L19:U19)</f>
        <v>#REF!</v>
      </c>
      <c r="W20" s="169"/>
      <c r="X20" s="169"/>
      <c r="Y20" s="169"/>
    </row>
    <row r="21" spans="1:25" ht="15.75" thickTop="1" thickBot="1">
      <c r="A21" s="182" t="s">
        <v>456</v>
      </c>
      <c r="B21" s="189">
        <v>21.7</v>
      </c>
      <c r="C21" s="189">
        <v>0.87</v>
      </c>
      <c r="D21" s="189">
        <v>267.13</v>
      </c>
      <c r="E21" s="189">
        <v>56.86999999999999</v>
      </c>
      <c r="F21" s="189">
        <v>17.09</v>
      </c>
      <c r="G21" s="189">
        <v>0</v>
      </c>
      <c r="H21" s="189">
        <v>0</v>
      </c>
      <c r="I21" s="189">
        <f>SUM(B21:H21)</f>
        <v>363.65999999999997</v>
      </c>
      <c r="J21" s="169"/>
      <c r="K21" s="162"/>
      <c r="L21" s="169"/>
      <c r="M21" s="169"/>
      <c r="N21" s="169"/>
      <c r="O21" s="169"/>
      <c r="P21" s="169"/>
      <c r="Q21" s="169"/>
      <c r="R21" s="169"/>
      <c r="S21" s="169"/>
      <c r="T21" s="169"/>
      <c r="U21" s="162"/>
      <c r="V21" s="169" t="e">
        <f>V20-V19</f>
        <v>#REF!</v>
      </c>
      <c r="W21" s="169"/>
      <c r="X21" s="169"/>
      <c r="Y21" s="169"/>
    </row>
    <row r="22" spans="1:25" ht="14.65" thickTop="1"/>
    <row r="23" spans="1:25">
      <c r="C23" s="262" t="s">
        <v>457</v>
      </c>
      <c r="D23">
        <v>3042.2970700000001</v>
      </c>
    </row>
    <row r="24" spans="1:25">
      <c r="C24" s="262" t="s">
        <v>458</v>
      </c>
      <c r="D24">
        <v>3050.4462400000002</v>
      </c>
    </row>
    <row r="25" spans="1:25">
      <c r="C25" s="262"/>
    </row>
    <row r="26" spans="1:25" ht="23.25">
      <c r="B26" s="269" t="e">
        <f>B16+B6-B17</f>
        <v>#REF!</v>
      </c>
      <c r="C26" s="269" t="e">
        <f t="shared" ref="C26:H26" si="7">C16+C6-C17</f>
        <v>#REF!</v>
      </c>
      <c r="D26" s="269" t="e">
        <f t="shared" si="7"/>
        <v>#REF!</v>
      </c>
      <c r="E26" s="269" t="e">
        <f t="shared" si="7"/>
        <v>#REF!</v>
      </c>
      <c r="F26" s="269" t="e">
        <f t="shared" si="7"/>
        <v>#REF!</v>
      </c>
      <c r="G26" s="269" t="e">
        <f t="shared" si="7"/>
        <v>#REF!</v>
      </c>
      <c r="H26" s="269" t="e">
        <f t="shared" si="7"/>
        <v>#REF!</v>
      </c>
    </row>
    <row r="28" spans="1:25">
      <c r="C28">
        <v>267.13</v>
      </c>
    </row>
    <row r="29" spans="1:25">
      <c r="C29" s="159">
        <f>C17/C28</f>
        <v>9840.0594467113388</v>
      </c>
      <c r="D29">
        <v>2870.6620200000002</v>
      </c>
    </row>
    <row r="30" spans="1:25">
      <c r="D30">
        <v>2878351.44</v>
      </c>
    </row>
    <row r="33" spans="2:18">
      <c r="B33" s="199"/>
    </row>
    <row r="34" spans="2:18" ht="14.65" thickBot="1">
      <c r="B34" s="177">
        <v>-238800000</v>
      </c>
      <c r="C34" s="177">
        <v>0</v>
      </c>
      <c r="D34" s="177">
        <v>-290100000</v>
      </c>
      <c r="E34" s="177">
        <v>-41200000</v>
      </c>
      <c r="F34" s="177">
        <v>-4542200000</v>
      </c>
      <c r="G34" s="177">
        <v>-26900000</v>
      </c>
      <c r="H34" s="177">
        <v>-300000</v>
      </c>
    </row>
    <row r="35" spans="2:18" ht="15" thickTop="1" thickBot="1">
      <c r="B35" s="177">
        <v>-374400000</v>
      </c>
      <c r="C35" s="177">
        <v>-500000</v>
      </c>
      <c r="D35" s="177">
        <v>-612900000</v>
      </c>
      <c r="E35" s="177">
        <v>-40200000</v>
      </c>
      <c r="F35" s="177">
        <v>-14400000</v>
      </c>
      <c r="G35" s="177">
        <v>0</v>
      </c>
      <c r="H35" s="177">
        <v>0</v>
      </c>
    </row>
    <row r="36" spans="2:18" ht="15" thickTop="1" thickBot="1">
      <c r="B36" s="177">
        <v>-100000</v>
      </c>
      <c r="C36" s="177">
        <v>0</v>
      </c>
      <c r="D36" s="177">
        <v>-2158500000</v>
      </c>
      <c r="E36" s="177">
        <v>0</v>
      </c>
      <c r="F36" s="177">
        <v>-2934800000</v>
      </c>
      <c r="G36" s="177">
        <v>0</v>
      </c>
      <c r="H36" s="177">
        <v>0</v>
      </c>
    </row>
    <row r="37" spans="2:18" ht="15" thickTop="1" thickBot="1">
      <c r="B37" s="177">
        <v>-911639773.75</v>
      </c>
      <c r="C37" s="177">
        <v>-4871425.18</v>
      </c>
      <c r="D37" s="177">
        <v>-27923141.696400199</v>
      </c>
      <c r="E37" s="177">
        <v>-228108154.37</v>
      </c>
      <c r="F37" s="177">
        <v>-862100000</v>
      </c>
      <c r="G37" s="177">
        <v>-27300000</v>
      </c>
      <c r="H37" s="177">
        <v>-6400000</v>
      </c>
      <c r="P37" s="102"/>
      <c r="Q37" s="102"/>
      <c r="R37" s="102"/>
    </row>
    <row r="38" spans="2:18" ht="15" thickTop="1" thickBot="1">
      <c r="B38" s="177">
        <v>545102.16</v>
      </c>
      <c r="C38" s="177">
        <v>21474.48</v>
      </c>
      <c r="D38" s="177">
        <v>6295767.6639208496</v>
      </c>
      <c r="E38" s="177">
        <v>1380359.48</v>
      </c>
      <c r="F38" s="177">
        <v>49191.54</v>
      </c>
      <c r="G38" s="177">
        <v>0</v>
      </c>
      <c r="H38" s="177">
        <v>0</v>
      </c>
    </row>
    <row r="39" spans="2:18" ht="14.65" thickTop="1"/>
    <row r="41" spans="2:18">
      <c r="B41" s="271" t="e">
        <f>B34-B9</f>
        <v>#REF!</v>
      </c>
      <c r="C41" s="271" t="e">
        <f t="shared" ref="C41:H41" si="8">C34-C9</f>
        <v>#REF!</v>
      </c>
      <c r="D41" s="271" t="e">
        <f t="shared" si="8"/>
        <v>#REF!</v>
      </c>
      <c r="E41" s="271" t="e">
        <f t="shared" si="8"/>
        <v>#REF!</v>
      </c>
      <c r="F41" s="271" t="e">
        <f t="shared" si="8"/>
        <v>#REF!</v>
      </c>
      <c r="G41" s="271" t="e">
        <f t="shared" si="8"/>
        <v>#REF!</v>
      </c>
      <c r="H41" s="271" t="e">
        <f t="shared" si="8"/>
        <v>#REF!</v>
      </c>
    </row>
    <row r="42" spans="2:18">
      <c r="B42" s="271" t="e">
        <f t="shared" ref="B42:H42" si="9">B35-B10</f>
        <v>#REF!</v>
      </c>
      <c r="C42" s="271">
        <f t="shared" si="9"/>
        <v>0</v>
      </c>
      <c r="D42" s="271" t="e">
        <f t="shared" si="9"/>
        <v>#REF!</v>
      </c>
      <c r="E42" s="271" t="e">
        <f t="shared" si="9"/>
        <v>#REF!</v>
      </c>
      <c r="F42" s="271" t="e">
        <f t="shared" si="9"/>
        <v>#REF!</v>
      </c>
      <c r="G42" s="271" t="e">
        <f t="shared" si="9"/>
        <v>#REF!</v>
      </c>
      <c r="H42" s="271" t="e">
        <f t="shared" si="9"/>
        <v>#REF!</v>
      </c>
    </row>
    <row r="43" spans="2:18">
      <c r="B43" s="271" t="e">
        <f t="shared" ref="B43:H43" si="10">B36-B11</f>
        <v>#REF!</v>
      </c>
      <c r="C43" s="271">
        <f t="shared" si="10"/>
        <v>0</v>
      </c>
      <c r="D43" s="271" t="e">
        <f t="shared" si="10"/>
        <v>#REF!</v>
      </c>
      <c r="E43" s="271">
        <f t="shared" si="10"/>
        <v>0</v>
      </c>
      <c r="F43" s="271" t="e">
        <f t="shared" si="10"/>
        <v>#REF!</v>
      </c>
      <c r="G43" s="271">
        <f t="shared" si="10"/>
        <v>0</v>
      </c>
      <c r="H43" s="271">
        <f t="shared" si="10"/>
        <v>0</v>
      </c>
    </row>
    <row r="44" spans="2:18">
      <c r="B44" s="271" t="e">
        <f t="shared" ref="B44:H44" si="11">B37-B12</f>
        <v>#REF!</v>
      </c>
      <c r="C44" s="271" t="e">
        <f t="shared" si="11"/>
        <v>#REF!</v>
      </c>
      <c r="D44" s="271">
        <f t="shared" si="11"/>
        <v>-9.9000100046396255E-2</v>
      </c>
      <c r="E44" s="271">
        <f t="shared" si="11"/>
        <v>-0.76280000805854797</v>
      </c>
      <c r="F44" s="271" t="e">
        <f t="shared" si="11"/>
        <v>#REF!</v>
      </c>
      <c r="G44" s="271" t="e">
        <f t="shared" si="11"/>
        <v>#REF!</v>
      </c>
      <c r="H44" s="271" t="e">
        <f t="shared" si="11"/>
        <v>#REF!</v>
      </c>
    </row>
    <row r="45" spans="2:18">
      <c r="B45" s="271">
        <f t="shared" ref="B45:H45" si="12">B38-B13</f>
        <v>0.16000000003259629</v>
      </c>
      <c r="C45" s="271">
        <f t="shared" si="12"/>
        <v>0.47999999999956344</v>
      </c>
      <c r="D45" s="271">
        <f t="shared" si="12"/>
        <v>-0.33607915043830872</v>
      </c>
      <c r="E45" s="271">
        <f t="shared" si="12"/>
        <v>0.47999999998137355</v>
      </c>
      <c r="F45" s="271">
        <f t="shared" si="12"/>
        <v>-0.45999999999912689</v>
      </c>
      <c r="G45" s="271">
        <f t="shared" si="12"/>
        <v>0</v>
      </c>
      <c r="H45" s="271">
        <f t="shared" si="12"/>
        <v>0</v>
      </c>
    </row>
  </sheetData>
  <pageMargins left="0.7" right="0.7" top="0.75" bottom="0.75" header="0.3" footer="0.3"/>
  <pageSetup paperSize="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DD80BB0208A848BEEBF556B6DD8F73" ma:contentTypeVersion="7" ma:contentTypeDescription="Create a new document." ma:contentTypeScope="" ma:versionID="49c208e58617fae34c2aa37170f938e7">
  <xsd:schema xmlns:xsd="http://www.w3.org/2001/XMLSchema" xmlns:xs="http://www.w3.org/2001/XMLSchema" xmlns:p="http://schemas.microsoft.com/office/2006/metadata/properties" xmlns:ns2="a8106964-8f96-4449-bd77-4e7dc880edce" xmlns:ns3="5563f1d5-6be3-45b0-84c6-c63d75522dd9" targetNamespace="http://schemas.microsoft.com/office/2006/metadata/properties" ma:root="true" ma:fieldsID="6060cce2b8f30abcdd665f4051ca0207" ns2:_="" ns3:_="">
    <xsd:import namespace="a8106964-8f96-4449-bd77-4e7dc880edce"/>
    <xsd:import namespace="5563f1d5-6be3-45b0-84c6-c63d75522d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06964-8f96-4449-bd77-4e7dc880ed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63f1d5-6be3-45b0-84c6-c63d75522d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563f1d5-6be3-45b0-84c6-c63d75522dd9">
      <UserInfo>
        <DisplayName>Neil Wilcox</DisplayName>
        <AccountId>74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5A300-4D02-46DF-84C0-853987EA1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106964-8f96-4449-bd77-4e7dc880edce"/>
    <ds:schemaRef ds:uri="5563f1d5-6be3-45b0-84c6-c63d75522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AA2D15-A029-4108-AA60-E02C72AE03DC}">
  <ds:schemaRefs>
    <ds:schemaRef ds:uri="http://schemas.microsoft.com/office/2006/metadata/properties"/>
    <ds:schemaRef ds:uri="a8106964-8f96-4449-bd77-4e7dc880edce"/>
    <ds:schemaRef ds:uri="http://purl.org/dc/elements/1.1/"/>
    <ds:schemaRef ds:uri="http://purl.org/dc/terms/"/>
    <ds:schemaRef ds:uri="http://schemas.microsoft.com/office/2006/documentManagement/types"/>
    <ds:schemaRef ds:uri="http://purl.org/dc/dcmitype/"/>
    <ds:schemaRef ds:uri="5563f1d5-6be3-45b0-84c6-c63d75522dd9"/>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1E6DB00-3D2F-4850-8F2D-E0A922C280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SIF</vt:lpstr>
      <vt:lpstr>CANDIDATE BRIEFINGS</vt:lpstr>
      <vt:lpstr>GLACapProgBreakdown</vt:lpstr>
      <vt:lpstr>GLA Mayor (3)</vt:lpstr>
      <vt:lpstr>GLA Mayor (2)</vt:lpstr>
      <vt:lpstr>Savings OLD DO NOT USE</vt:lpstr>
      <vt:lpstr>Breifing</vt:lpstr>
      <vt:lpstr>Not needed -&gt;</vt:lpstr>
      <vt:lpstr>Part1 - Annex A</vt:lpstr>
      <vt:lpstr>Summary - Funded Measures </vt:lpstr>
      <vt:lpstr>Climate Measures - Funded</vt:lpstr>
      <vt:lpstr>C.Measures Unfunded &amp; Unadopted</vt:lpstr>
      <vt:lpstr>Sheet1</vt:lpstr>
      <vt:lpstr>AnnexATable</vt:lpstr>
      <vt:lpstr>OPDC MDC Reserve</vt:lpstr>
      <vt:lpstr>extra funding</vt:lpstr>
      <vt:lpstr>AnnexATable!Print_Area</vt:lpstr>
      <vt:lpstr>'C.Measures Unfunded &amp; Unadopted'!Print_Area</vt:lpstr>
      <vt:lpstr>'Climate Measures - Funded'!Print_Area</vt:lpstr>
      <vt:lpstr>'Summary - Funded Measures '!Print_Area</vt:lpstr>
      <vt:lpstr>'C.Measures Unfunded &amp; Unadopted'!Print_Titles</vt:lpstr>
      <vt:lpstr>'Climate Measures - Funded'!Print_Titles</vt:lpstr>
    </vt:vector>
  </TitlesOfParts>
  <Manager/>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 Dang</dc:creator>
  <cp:keywords/>
  <dc:description/>
  <cp:lastModifiedBy>Agnese Manfrin</cp:lastModifiedBy>
  <cp:revision/>
  <cp:lastPrinted>2022-12-09T10:36:56Z</cp:lastPrinted>
  <dcterms:created xsi:type="dcterms:W3CDTF">2016-12-06T15:44:12Z</dcterms:created>
  <dcterms:modified xsi:type="dcterms:W3CDTF">2023-02-13T16:11:46Z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0x0101006DDD80BB0208A848BEEBF556B6DD8F73</vt:lpwstr>
  </property>
  <property fmtid="{D5CDD505-2E9C-101B-9397-08002B2CF9AE}" pid="3" name="DARK_MODE_0292">
    <vt:i4>0</vt:i4>
  </property>
</Properties>
</file>